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Revised Petition\"/>
    </mc:Choice>
  </mc:AlternateContent>
  <xr:revisionPtr revIDLastSave="0" documentId="13_ncr:1_{A8EA93A2-AF4F-433B-8F10-87B0A43EEA78}" xr6:coauthVersionLast="47" xr6:coauthVersionMax="47" xr10:uidLastSave="{00000000-0000-0000-0000-000000000000}"/>
  <bookViews>
    <workbookView xWindow="-110" yWindow="-110" windowWidth="19420" windowHeight="10300" xr2:uid="{796AFDF7-3469-4E8E-9BF6-8B2062840470}"/>
  </bookViews>
  <sheets>
    <sheet name="BTPS_4-5 LD Imp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'[7]04REL'!#REF!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'[7]04REL'!#REF!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>'[7]04REL'!#REF!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>'[7]04REL'!#REF!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>'[7]04REL'!#REF!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>'[7]04REL'!#REF!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>'[7]04REL'!#REF!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>'[7]04REL'!#REF!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'[8]04REL'!#REF!</definedName>
    <definedName name="_______XL__ENTER_UNIT">#REF!</definedName>
    <definedName name="______SCH6">'[8]04REL'!#REF!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'[8]04REL'!#REF!</definedName>
    <definedName name="_____XL__ENTER_UNIT">#REF!</definedName>
    <definedName name="____SCH6">'[8]04REL'!#REF!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INDEX_SHEET___ASAP_Utilities">#REF!</definedName>
    <definedName name="___SCH6">'[8]04REL'!#REF!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_xlfn.BAHTTEXT" hidden="1">#NAME?</definedName>
    <definedName name="__123Graph_A" hidden="1">[9]CE!#REF!</definedName>
    <definedName name="__123Graph_AGraph4" hidden="1">'[10]01.11.2004'!#REF!</definedName>
    <definedName name="__123Graph_ASTNPLF" hidden="1">[9]CE!#REF!</definedName>
    <definedName name="__123Graph_B" hidden="1">[9]CE!#REF!</definedName>
    <definedName name="__123Graph_BGraph4" hidden="1">'[10]01.11.2004'!#REF!</definedName>
    <definedName name="__123Graph_BSTNPLF" hidden="1">[9]CE!#REF!</definedName>
    <definedName name="__123Graph_C" hidden="1">[9]CE!#REF!</definedName>
    <definedName name="__123Graph_CGraph4" hidden="1">'[10]01.11.2004'!#REF!</definedName>
    <definedName name="__123Graph_CSTNPLF" hidden="1">[9]CE!#REF!</definedName>
    <definedName name="__123Graph_D" hidden="1">'[11]BALANCE SHEET'!$K$58:$K$67</definedName>
    <definedName name="__123Graph_E" hidden="1">'[11]BALANCE SHEET'!$L$58:$L$67</definedName>
    <definedName name="__123Graph_F" hidden="1">'[11]BALANCE SHEET'!$M$58:$M$67</definedName>
    <definedName name="__123Graph_X" hidden="1">[9]CE!#REF!</definedName>
    <definedName name="__123Graph_XSTNPLF" hidden="1">[9]CE!#REF!</definedName>
    <definedName name="__Cur3">'[12]x-rate'!$A$2:$B$10</definedName>
    <definedName name="__DOWN_10__GOTO">#REF!</definedName>
    <definedName name="__ES84__EW84_0.">#REF!</definedName>
    <definedName name="__GOTO_EP84__AV">#REF!</definedName>
    <definedName name="__SCH6">'[8]04REL'!#REF!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'[13]x-rate'!$A$2:$B$11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_xlfn.BAHTTEXT" hidden="1">#NAME?</definedName>
    <definedName name="_1___123Graph_AI_II_PLF" hidden="1">[14]CE!#REF!</definedName>
    <definedName name="_12__123Graph_BI_II_PLF" hidden="1">#REF!</definedName>
    <definedName name="_123Graph_B" hidden="1">[9]CE!#REF!</definedName>
    <definedName name="_18__123Graph_CI_II_PLF" hidden="1">#REF!</definedName>
    <definedName name="_2___123Graph_BI_II_PLF" hidden="1">[14]CE!#REF!</definedName>
    <definedName name="_24__123Graph_XI_II_PLF" hidden="1">#REF!</definedName>
    <definedName name="_3___123Graph_CI_II_PLF" hidden="1">[14]CE!#REF!</definedName>
    <definedName name="_4___123Graph_XI_II_PLF" hidden="1">[14]CE!#REF!</definedName>
    <definedName name="_5">#REF!</definedName>
    <definedName name="_5__123Graph_AI_II_PLF" hidden="1">[15]CE!#REF!</definedName>
    <definedName name="_6">#REF!</definedName>
    <definedName name="_6__123Graph_AI_II_PLF" hidden="1">#REF!</definedName>
    <definedName name="_6__123Graph_BI_II_PLF" hidden="1">[15]CE!#REF!</definedName>
    <definedName name="_7__123Graph_CI_II_PLF" hidden="1">[15]CE!#REF!</definedName>
    <definedName name="_8__123Graph_XI_II_PLF" hidden="1">[15]CE!#REF!</definedName>
    <definedName name="_Cur3">'[12]x-rate'!$A$2:$B$10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Fill" hidden="1">#REF!</definedName>
    <definedName name="_xlnm._FilterDatabase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hidden="1">#REF!</definedName>
    <definedName name="_Key2" hidden="1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hidden="1">'[10]01.11.2004'!#REF!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hidden="1">[16]CE!#REF!</definedName>
    <definedName name="_Regression_Int" hidden="1">1</definedName>
    <definedName name="_RV_DOWN_6__LEF">#REF!</definedName>
    <definedName name="_SCH6">'[17]04REL'!#REF!</definedName>
    <definedName name="_Sort" hidden="1">#REF!</definedName>
    <definedName name="_SUM_DI14..DI21">#REF!</definedName>
    <definedName name="_SUM_DI22..DI29">#REF!</definedName>
    <definedName name="_Table1_Out" hidden="1">'[10]01.11.2004'!#REF!</definedName>
    <definedName name="_U__END__U__D__">#REF!</definedName>
    <definedName name="_U__U__END__U__">#REF!</definedName>
    <definedName name="_U__U__U__U__U_">#REF!</definedName>
    <definedName name="_VAL3">'[13]x-rate'!$A$2:$B$11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>[18]Details!$D$187</definedName>
    <definedName name="Access_Button" hidden="1">"PJTFINAL_F02F11_List"</definedName>
    <definedName name="AccessDatabase" hidden="1">"C:\jhp2\JHP\AES\PJTFINAL.mdb"</definedName>
    <definedName name="adfad">'[19]Instruction Sheet'!$E$35</definedName>
    <definedName name="ADL.63">[20]Addl.40!$A$38:$I$284</definedName>
    <definedName name="ADTL">[21]BS!$A$1</definedName>
    <definedName name="anand">[22]Sheet3!$D$7</definedName>
    <definedName name="anx">'[23]Clause 9'!$A$1</definedName>
    <definedName name="aps">'[24]a-4'!$E$38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hidden="1">[25]CE!#REF!</definedName>
    <definedName name="ASDASD123" hidden="1">[25]CE!#REF!</definedName>
    <definedName name="asdf">'[26]04REL'!#REF!</definedName>
    <definedName name="ASSESSMENT_YEAR____1998___99">"tds"</definedName>
    <definedName name="asset">[27]Title!$C$10</definedName>
    <definedName name="asset1">[28]Sheet2!$A$2:$AH$1408</definedName>
    <definedName name="AsstYr">[29]Masters!$C$34</definedName>
    <definedName name="AuBhu0910" localSheetId="0">[30]Assumption_PwC!$D$7</definedName>
    <definedName name="AuBhu0910">[30]Assumption_PwC!$D$7</definedName>
    <definedName name="AuBhu1011" localSheetId="0">[30]Assumption_PwC!$E$7</definedName>
    <definedName name="AuBhu1011">[30]Assumption_PwC!$E$7</definedName>
    <definedName name="AuCha0910" localSheetId="0">[30]Assumption_PwC!$D$8</definedName>
    <definedName name="AuCha0910">[30]Assumption_PwC!$D$8</definedName>
    <definedName name="AV">#REF!</definedName>
    <definedName name="ay">'[23]Clause 9'!$A$4</definedName>
    <definedName name="B">#REF!</definedName>
    <definedName name="B5210MW">#REF!</definedName>
    <definedName name="bb">[31]Variables!$B$4</definedName>
    <definedName name="BEx1XOKSCH78XQ00HOGFX0N9SLC7" hidden="1">[32]Table!$I$10:$J$10</definedName>
    <definedName name="BEx3NTRMB84K05E46MCYRB8QQT83" hidden="1">[32]Table!$I$8:$J$8</definedName>
    <definedName name="BEx3OKL6MQZ2Z7V64B8XBNQ35ZWK" hidden="1">[32]Graph!$F$10:$G$10</definedName>
    <definedName name="BEx5F6V5LEI66Q6Y30F8WKLZFUSK" hidden="1">[32]Table!$F$11:$G$11</definedName>
    <definedName name="BEx7BVRRP386BTN6RK71NTH0RGJV" hidden="1">[32]Table!$F$9:$G$9</definedName>
    <definedName name="BEx7F8UO9IZN4BT6DVP7G692YK2M" hidden="1">[32]Table!$F$15:$AD$54</definedName>
    <definedName name="BEx95TH7X8DDKZ4IM9M8FNR4Z4BT" hidden="1">[32]Graph!$F$11:$G$11</definedName>
    <definedName name="BEx96H03FSI9F2VGN1Q7TPFWHHSV" hidden="1">[32]Table!$I$6:$J$6</definedName>
    <definedName name="BEx97F651DTPEIXNL9PU1DDPQJ3J" hidden="1">[32]Table!$J$2:$K$2</definedName>
    <definedName name="BExB7Y8L9DM8DN9P8OSBA1IJDZND" hidden="1">[32]Table!$F$10:$G$10</definedName>
    <definedName name="BExBAUZD05VYQHAZRRRU1U95MFC2" hidden="1">[32]Graph!$I$10:$J$10</definedName>
    <definedName name="BExCVRIIBOGYLXPN6CSPOE4UDMFA" hidden="1">[32]Graph!$I$8:$J$8</definedName>
    <definedName name="BExET7ZSDYQ0C5WX1FP1ZA4HZMZI" hidden="1">[32]Graph!$F$7:$G$7</definedName>
    <definedName name="BExGU8W4X1J4UP329AB4G708DE5V" hidden="1">[32]Graph!$I$6:$J$6</definedName>
    <definedName name="BExH0IKFD2XZ2IUBJMAUE9E64HPN" hidden="1">[32]Table!$I$11:$J$11</definedName>
    <definedName name="BExINXLVVQ29UXQYVRLYNF88CV1Q" hidden="1">[32]Graph!$I$9:$J$9</definedName>
    <definedName name="BExIOQJ15X871R5JB8TQK2Z5HAIE" hidden="1">[32]Table!$I$9:$J$9</definedName>
    <definedName name="BExMK8GNVLQNRGKY522KFHNRBWHH" hidden="1">[32]Graph!$F$9:$G$9</definedName>
    <definedName name="BExOKO34TA9XYUZZCXN78ABZR4X3" hidden="1">[32]Graph!$I$11:$J$11</definedName>
    <definedName name="BExQ7NUC0NYZM41F4MA8OXQZY3B3" hidden="1">[32]Table!$F$8:$G$8</definedName>
    <definedName name="BExTW06U9LH6ONWWJG2JT2IE7FHL" hidden="1">[32]Graph!$C$15:$D$24</definedName>
    <definedName name="BExU3RIAP478GJ8A7T5UZ359QZ07" hidden="1">[32]Graph!$F$6:$G$6</definedName>
    <definedName name="BExUD90JKWQMHVOZT5ZCEIHU9AOT" hidden="1">[32]Table!$F$6:$G$6</definedName>
    <definedName name="BExW1QV7KYMNIHVF5MC7H059DW4K" hidden="1">[32]Table!$C$15:$D$24</definedName>
    <definedName name="BExXSSA382M6V21QBI1MUU12UIRU" hidden="1">[32]Graph!$I$7:$J$7</definedName>
    <definedName name="BExXY0XT6GJE3MTRO04N33LOBYO1" hidden="1">[32]Table!$F$7:$G$7</definedName>
    <definedName name="BExY17FABGPJJ2J9XI5X53R8O7JR" hidden="1">[32]Graph!$F$8:$G$8</definedName>
    <definedName name="BExY17KKZ7QY5ESCFC2U053SPI6J" hidden="1">[32]Table!$E$1:$E$1</definedName>
    <definedName name="BExY51FNC1LPQCN87SH9EXI7ZTSQ" hidden="1">[32]Table!$G$2:$H$2</definedName>
    <definedName name="BG_Del" hidden="1">15</definedName>
    <definedName name="BG_Ins" hidden="1">4</definedName>
    <definedName name="BG_Mod" hidden="1">6</definedName>
    <definedName name="BhuResLife">[33]Assumptions!$B$35</definedName>
    <definedName name="Bhus45ResLife16" localSheetId="0">'[34]Inputs &amp; Assumptions'!$D$14</definedName>
    <definedName name="Bhus45ResLife16">'[34]Inputs &amp; Assumptions'!$D$14</definedName>
    <definedName name="Bhusawal3BL17">'[35]Balance Life'!$N$45</definedName>
    <definedName name="BhusResLife16" localSheetId="0">'[34]Inputs &amp; Assumptions'!$B$3</definedName>
    <definedName name="BhusResLife16">'[34]Inputs &amp; Assumptions'!$B$3</definedName>
    <definedName name="BhusResLife17" localSheetId="0">'[34]Inputs &amp; Assumptions'!$G$16</definedName>
    <definedName name="BhusResLife17">'[34]Inputs &amp; Assumptions'!$G$16</definedName>
    <definedName name="BSDateSF">[29]Masters!$C$28</definedName>
    <definedName name="Bsl3Reslife18">[36]Sheet1!$O$45</definedName>
    <definedName name="C_Data_1">'[37]2000-01'!#REF!</definedName>
    <definedName name="C_Data_2">'[37]2000-01'!#REF!</definedName>
    <definedName name="CASH">'[38]Balance Sheet'!$J$62</definedName>
    <definedName name="ChanResLife16" localSheetId="0">'[34]Inputs &amp; Assumptions'!$B$4</definedName>
    <definedName name="ChanResLife16">'[34]Inputs &amp; Assumptions'!$B$4</definedName>
    <definedName name="ChaResLife">[33]Assumptions!$B$36</definedName>
    <definedName name="ChartingArea">'[39]PL6-Revenue Bridge'!$A$6:$A$21,'[39]PL6-Revenue Bridge'!$E$6:$K$21</definedName>
    <definedName name="checkarea">[40]Settings!$E$1:$E$65536</definedName>
    <definedName name="CM10_C_RIGHT___">#REF!</definedName>
    <definedName name="cmb_Per10080G.StateCode">'[41]80G'!$B$84:$B$119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'[23]Clause 9'!$A$2</definedName>
    <definedName name="CoAdd">[29]Masters!$C$4</definedName>
    <definedName name="CoName">[29]Masters!$C$3</definedName>
    <definedName name="conf_balamended" hidden="1">{#N/A,#N/A,FALSE,"PMTABB";#N/A,#N/A,FALSE,"PMTABB"}</definedName>
    <definedName name="CoStatus">[29]Masters!$C$7</definedName>
    <definedName name="curra">[42]Title!$G$11</definedName>
    <definedName name="CURRAPPLI">[40]Settings!$E$9</definedName>
    <definedName name="Currency">'[12]x-rate'!$A$2:$B$10</definedName>
    <definedName name="CV">#REF!</definedName>
    <definedName name="cwedkwqnb">#REF!</definedName>
    <definedName name="CY">[43]NP!$K$1</definedName>
    <definedName name="D">#REF!</definedName>
    <definedName name="_xlnm.Database">#REF!</definedName>
    <definedName name="Date">[21]BS!$C$1</definedName>
    <definedName name="dd">'[44]Main Bs'!$M$3</definedName>
    <definedName name="dds">#REF!</definedName>
    <definedName name="Debt_Pct" localSheetId="0">[45]Assumptions!$B$13</definedName>
    <definedName name="Debt_Pct">[45]Assumptions!$B$13</definedName>
    <definedName name="dec01SchV">[46]sep01!$A$1:$L$51</definedName>
    <definedName name="DEDUCTION">[47]deduction!$B$1:$I$87</definedName>
    <definedName name="Depreciation" hidden="1">{"'Detail Summary'!$A$1:$F$83"}</definedName>
    <definedName name="dfd">#REF!</definedName>
    <definedName name="DLYREVIEW">#REF!</definedName>
    <definedName name="dpc">'[48]dpc cost'!$D$1</definedName>
    <definedName name="ds">#REF!</definedName>
    <definedName name="dsf">#REF!</definedName>
    <definedName name="e" hidden="1">{"'Detail Summary'!$A$1:$F$83"}</definedName>
    <definedName name="E_315MVA_Addl_Page1">#REF!</definedName>
    <definedName name="E_315MVA_Addl_Page2">#REF!</definedName>
    <definedName name="Erai_level">[49]Level_qty!$B$8:$C$528</definedName>
    <definedName name="Esc_AGExp" localSheetId="0">[50]Assumptions!$B$4</definedName>
    <definedName name="Esc_AGExp">[50]Assumptions!$B$4</definedName>
    <definedName name="Esc_Coal" localSheetId="0">[45]Assumptions!$B$6</definedName>
    <definedName name="Esc_Coal">[45]Assumptions!$B$6</definedName>
    <definedName name="Esc_DomGas" localSheetId="0">[45]Assumptions!$B$8</definedName>
    <definedName name="Esc_DomGas">[45]Assumptions!$B$8</definedName>
    <definedName name="Esc_EmpExp" localSheetId="0">[45]Assumptions!$B$3</definedName>
    <definedName name="Esc_EmpExp">[45]Assumptions!$B$3</definedName>
    <definedName name="Esc_LNGas" localSheetId="0">[45]Assumptions!$B$9</definedName>
    <definedName name="Esc_LNGas">[45]Assumptions!$B$9</definedName>
    <definedName name="Esc_Oil" localSheetId="0">[45]Assumptions!$B$7</definedName>
    <definedName name="Esc_Oil">[45]Assumptions!$B$7</definedName>
    <definedName name="Esc_OtherIncome" localSheetId="0">[45]Assumptions!$B$14</definedName>
    <definedName name="Esc_OtherIncome">[45]Assumptions!$B$14</definedName>
    <definedName name="Esc_OtherVarCharge" localSheetId="0">[45]Assumptions!$B$10</definedName>
    <definedName name="Esc_OtherVarCharge">[45]Assumptions!$B$10</definedName>
    <definedName name="Esc_RMExp" localSheetId="0">[50]Assumptions!$B$5</definedName>
    <definedName name="Esc_RMExp">[50]Assumptions!$B$5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hidden="1">{"'Sheet1'!$A$4386:$N$4591"}</definedName>
    <definedName name="f">'[51]Inputs &amp; Assumptions'!$D$14</definedName>
    <definedName name="FAX">#REF!</definedName>
    <definedName name="fdfd">'[52]Balance Life'!$N$52</definedName>
    <definedName name="ff">#REF!</definedName>
    <definedName name="FinCharge" localSheetId="0">[45]Assumptions!$B$25</definedName>
    <definedName name="FinCharge">[45]Assumptions!$B$25</definedName>
    <definedName name="FIXEDASSETS">[53]Cons!$B$2:$L$33</definedName>
    <definedName name="FPY">[43]NP!$L$2</definedName>
    <definedName name="fsffg">#REF!</definedName>
    <definedName name="Fuel_Exp_CY">#REF!</definedName>
    <definedName name="Fuel_Exp_EY">#REF!</definedName>
    <definedName name="Fuel_Exp_PY">#REF!</definedName>
    <definedName name="Function">[54]Instruction!$C$14</definedName>
    <definedName name="FY">[43]NP!$K$2</definedName>
    <definedName name="gdfgg">#REF!</definedName>
    <definedName name="geg">#REF!</definedName>
    <definedName name="gk0901int" hidden="1">{#N/A,#N/A,FALSE,"PMTABB";#N/A,#N/A,FALSE,"PMTABB"}</definedName>
    <definedName name="GR">#REF!</definedName>
    <definedName name="hghg">#REF!</definedName>
    <definedName name="hh" hidden="1">{"'Detail Summary'!$A$1:$F$83"}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[33]Assumptions!$B$44</definedName>
    <definedName name="HydroResLife16" localSheetId="0">'[34]Inputs &amp; Assumptions'!$D$12</definedName>
    <definedName name="HydroResLife16">'[34]Inputs &amp; Assumptions'!$D$12</definedName>
    <definedName name="ICRP">'[55]16.IC-RP list'!$C$6:$C$524</definedName>
    <definedName name="icrplist">'[56]IC-RP list'!$C$4:$C$500</definedName>
    <definedName name="Inflationfactor" localSheetId="0">'[34]Inputs &amp; Assumptions'!$P$47</definedName>
    <definedName name="Inflationfactor">'[34]Inputs &amp; Assumptions'!$P$47</definedName>
    <definedName name="Insurance_money_received">SUM('[57]Interest 30-11-01 not PA 7%'!$E$151:$E$152)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[33]Assumptions!$B$1</definedName>
    <definedName name="Interest_rate_for_working_capital___FY15">[33]Assumptions!$B$2</definedName>
    <definedName name="Interest_rate_for_working_capital___FY16">[33]Assumptions!$B$2</definedName>
    <definedName name="Interest_rate_for_working_capital___FY17">[33]Assumptions!$B$25</definedName>
    <definedName name="Interest_rate_for_working_capital___FY18">[33]Assumptions!$B$26</definedName>
    <definedName name="Interest_rate_for_working_capital___FY19">[33]Assumptions!$B$27</definedName>
    <definedName name="Interest_rate_for_working_capital___FY20">[33]Assumptions!$B$28</definedName>
    <definedName name="InterestrateforworkingcapitalFY15">#REF!</definedName>
    <definedName name="IntRate_11" localSheetId="0">[45]Assumptions!$B$11</definedName>
    <definedName name="IntRate_11">[45]Assumptions!$B$11</definedName>
    <definedName name="IntRate_12" localSheetId="0">[45]Assumptions!$B$12</definedName>
    <definedName name="IntRate_12">[45]Assumptions!$B$12</definedName>
    <definedName name="IntRate_WC" localSheetId="0">[30]Assumptions!$B$16</definedName>
    <definedName name="IntRate_WC">[30]Assumptions!$B$16</definedName>
    <definedName name="IntRate_WC10" localSheetId="0">[45]Assumptions!$B$16</definedName>
    <definedName name="IntRate_WC10">[45]Assumptions!$B$16</definedName>
    <definedName name="IntRate_WC11" localSheetId="0">[45]Assumptions!$B$17</definedName>
    <definedName name="IntRate_WC11">[45]Assumptions!$B$17</definedName>
    <definedName name="IntRate_WC12" localSheetId="0">[45]Assumptions!$B$18</definedName>
    <definedName name="IntRate_WC12">[45]Assumptions!$B$18</definedName>
    <definedName name="IntRate12">#REF!</definedName>
    <definedName name="IntRate13">#REF!</definedName>
    <definedName name="IntRate14">#REF!</definedName>
    <definedName name="IntRate15">#REF!</definedName>
    <definedName name="IntRateWC11">[58]Assumptions!$B$3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 localSheetId="0">'[59]A 3.7'!$H$35,'[59]A 3.7'!$H$44</definedName>
    <definedName name="Intt_Charge_cy_1">'[59]A 3.7'!$H$35,'[59]A 3.7'!$H$44</definedName>
    <definedName name="Intt_Charge_eY">#REF!,#REF!</definedName>
    <definedName name="Intt_Charge_ey_1" localSheetId="0">'[59]A 3.7'!$I$35,'[59]A 3.7'!$I$44</definedName>
    <definedName name="Intt_Charge_ey_1">'[59]A 3.7'!$I$35,'[59]A 3.7'!$I$44</definedName>
    <definedName name="Intt_Charge_PY">#REF!,#REF!</definedName>
    <definedName name="Intt_Charge_py_1" localSheetId="0">'[59]A 3.7'!$G$35,'[59]A 3.7'!$G$44</definedName>
    <definedName name="Intt_Charge_py_1">'[59]A 3.7'!$G$35,'[59]A 3.7'!$G$44</definedName>
    <definedName name="INVEST">#N/A</definedName>
    <definedName name="iowc16" localSheetId="0">'[34]Inputs &amp; Assumptions'!$M$40</definedName>
    <definedName name="iowc16">'[34]Inputs &amp; Assumptions'!$M$40</definedName>
    <definedName name="iowc17onwards" localSheetId="0">'[34]Inputs &amp; Assumptions'!$M$41</definedName>
    <definedName name="iowc17onwards">'[34]Inputs &amp; Assumptions'!$M$41</definedName>
    <definedName name="Iowc18" localSheetId="0">'[34]Inputs &amp; Assumptions'!$M$42</definedName>
    <definedName name="Iowc18">'[34]Inputs &amp; Assumptions'!$M$42</definedName>
    <definedName name="Iowc19onwards" localSheetId="0">'[34]Inputs &amp; Assumptions'!$M$43</definedName>
    <definedName name="Iowc19onwards">'[34]Inputs &amp; Assumptions'!$M$43</definedName>
    <definedName name="IsCircular">#REF!</definedName>
    <definedName name="ITEM_NO">"stock"</definedName>
    <definedName name="K2000_">#N/A</definedName>
    <definedName name="Kha5ResLife">[33]Assumptions!$B$45</definedName>
    <definedName name="Khap5ResLife16" localSheetId="0">'[34]Inputs &amp; Assumptions'!$D$13</definedName>
    <definedName name="Khap5ResLife16">'[34]Inputs &amp; Assumptions'!$D$13</definedName>
    <definedName name="khaperkheda">#REF!</definedName>
    <definedName name="KhapResLife16" localSheetId="0">'[34]Inputs &amp; Assumptions'!$D$7</definedName>
    <definedName name="KhapResLife16">'[34]Inputs &amp; Assumptions'!$D$7</definedName>
    <definedName name="KhaResLife">[33]Assumptions!$B$39</definedName>
    <definedName name="KoraResLife16" localSheetId="0">'[34]Inputs &amp; Assumptions'!$D$8</definedName>
    <definedName name="KoraResLife16">'[34]Inputs &amp; Assumptions'!$D$8</definedName>
    <definedName name="KoraResLife17" localSheetId="0">'[34]Inputs &amp; Assumptions'!$G$17</definedName>
    <definedName name="KoraResLife17">'[34]Inputs &amp; Assumptions'!$G$17</definedName>
    <definedName name="KorResLife">[33]Assumptions!$B$40</definedName>
    <definedName name="L_Adjust">[60]Links!$H$1:$H$65536</definedName>
    <definedName name="L_AJE_Tot">[60]Links!$G$1:$G$65536</definedName>
    <definedName name="L_CY_Beg">[60]Links!$F$1:$F$65536</definedName>
    <definedName name="L_CY_End">[60]Links!$J$1:$J$65536</definedName>
    <definedName name="L_PY_End">[60]Links!$K$1:$K$65536</definedName>
    <definedName name="L_RJE_Tot">[60]Links!$I$1:$I$65536</definedName>
    <definedName name="LAC">'[61]Trial Balance - MARCH 2006'!$I$2</definedName>
    <definedName name="Last_Row">#N/A</definedName>
    <definedName name="Lease_Rent_Received">"income"</definedName>
    <definedName name="List_1">'[62]Long-Term Borrowings'!$K$2:$K$3</definedName>
    <definedName name="LTR_M_NEW">#REF!</definedName>
    <definedName name="LTR_MOR">#REF!</definedName>
    <definedName name="m">'[63]3.Grouping - Profit &amp; Loss(mio)'!$C$1</definedName>
    <definedName name="mc">'[64]Clause 9'!$A$4</definedName>
    <definedName name="MethodAcc">[29]Masters!$C$46</definedName>
    <definedName name="MHM">[18]Details!$D$156</definedName>
    <definedName name="MONTH">#REF!</definedName>
    <definedName name="MStVal">[29]Masters!$C$47</definedName>
    <definedName name="name">[65]Params!$B$1</definedName>
    <definedName name="NashResLife16" localSheetId="0">'[34]Inputs &amp; Assumptions'!$D$9</definedName>
    <definedName name="NashResLife16">'[34]Inputs &amp; Assumptions'!$D$9</definedName>
    <definedName name="NasResLife">[33]Assumptions!$B$41</definedName>
    <definedName name="NatureBusiness">[29]Masters!$C$45</definedName>
    <definedName name="nbdvqn">#REF!</definedName>
    <definedName name="NBhusResLife">[33]Assumptions!$B$46</definedName>
    <definedName name="new" hidden="1">[66]CE!#REF!</definedName>
    <definedName name="NParliResLife">[33]Assumptions!$B$38</definedName>
    <definedName name="Number_of_Payments">#N/A</definedName>
    <definedName name="O">#REF!</definedName>
    <definedName name="officeq">[47]addition!$A$1:$G$220</definedName>
    <definedName name="Oil_page">#REF!</definedName>
    <definedName name="oxybel_interest">SUM('[24]a-4'!$E$99:$E$102)</definedName>
    <definedName name="p">#REF!</definedName>
    <definedName name="pacf">'[24]a-4'!$E$77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SUM('[67]pa-mtly'!$O$8:$S$8)</definedName>
    <definedName name="paidchemineer">SUM('[67]pa-mtly'!$O$17:$S$17)</definedName>
    <definedName name="paidcopes">SUM('[67]pa-mtly'!$O$18:$S$18)</definedName>
    <definedName name="paiddba">SUM('[67]pa-mtly'!$O$22:$S$22)</definedName>
    <definedName name="paiddelavan">SUM('[67]pa-mtly'!$O$20:$S$20)</definedName>
    <definedName name="paiddkm51">SUM('[67]pa-mtly'!$O$24:$S$24)</definedName>
    <definedName name="paiddkm52">SUM('[67]pa-mtly'!$O$25:$S$25)</definedName>
    <definedName name="paidemba">SUM('[67]pa-mtly'!$O$30:$S$30)</definedName>
    <definedName name="paidenviro">SUM('[67]pa-mtly'!$O$31:$S$31)</definedName>
    <definedName name="paidflowserve">SUM('[67]pa-mtly'!$O$36:$S$36)</definedName>
    <definedName name="paidfmc">SUM('[67]pa-mtly'!$O$37:$S$37)</definedName>
    <definedName name="paidgeveke149">SUM('[67]pa-mtly'!$O$40:$S$40)</definedName>
    <definedName name="paidgeveke80">SUM('[67]pa-mtly'!$O$39:$S$39)</definedName>
    <definedName name="paidgeveke81">SUM('[67]pa-mtly'!$O$41:$S$41)</definedName>
    <definedName name="paidghhb">SUM('[67]pa-mtly'!$O$42:$S$42)</definedName>
    <definedName name="paidgutor110">SUM('[67]pa-mtly'!$O$46:$S$46)</definedName>
    <definedName name="paidgutor96">SUM('[67]pa-mtly'!$O$45:$S$45)</definedName>
    <definedName name="paidhamw">SUM('[67]pa-mtly'!$O$47:$S$47)</definedName>
    <definedName name="paidheurtey">SUM('[67]pa-mtly'!$O$47:$S$47)</definedName>
    <definedName name="paidhmd">SUM('[67]pa-mtly'!$O$50:$S$50)</definedName>
    <definedName name="paidhydro">SUM('[67]pa-mtly'!$O$54:$S$54)</definedName>
    <definedName name="paidkerp">SUM('[67]pa-mtly'!$O$61:$S$61)</definedName>
    <definedName name="paidkiekens">SUM('[67]pa-mtly'!$O$62:$S$62)</definedName>
    <definedName name="paidklinger">SUM('[67]pa-mtly'!$O$63:$S$63)</definedName>
    <definedName name="paidkoch">SUM('[67]pa-mtly'!$O$64:$S$64)</definedName>
    <definedName name="paidkuervers">SUM('[67]pa-mtly'!$O$72:$S$72)</definedName>
    <definedName name="paidliebert">SUM('[67]pa-mtly'!$O$76:$S$76)</definedName>
    <definedName name="paidliebherr">SUM('[67]pa-mtly'!$O$75:$S$75)</definedName>
    <definedName name="paidmann">SUM('[67]pa-mtly'!$P$80:$S$80)</definedName>
    <definedName name="paidmrm">SUM('[67]pa-mtly'!$O$88:$S$88)</definedName>
    <definedName name="paidnat">SUM('[67]pa-mtly'!$O$89:$S$89)</definedName>
    <definedName name="paidnp">SUM('[67]pa-mtly'!$O$95:$S$95)</definedName>
    <definedName name="paidods">SUM('[67]pa-mtly'!$O$109:$S$109)</definedName>
    <definedName name="paidoxybel951">SUM('[67]pa-mtly'!$O$118:$S$118)</definedName>
    <definedName name="paidoxybel952">SUM('[67]pa-mtly'!$O$119:$S$119)</definedName>
    <definedName name="paidpirelli">SUM('[67]pa-mtly'!$O$126:$S$126)</definedName>
    <definedName name="paidsafex">SUM('[67]pa-mtly'!$O$130:$S$130)</definedName>
    <definedName name="paidschulz">SUM('[67]pa-mtly'!$O$132:$S$132)</definedName>
    <definedName name="paidsirco">SUM('[67]pa-mtly'!$O$140:$S$140)</definedName>
    <definedName name="paidtaprogge">SUM('[67]pa-mtly'!$O$145:$S$145)</definedName>
    <definedName name="paidthermoheat165">SUM('[67]pa-mtly'!$O$148:$S$148)</definedName>
    <definedName name="paidthermoheat175">SUM('[67]pa-mtly'!$O$149:$S$149)</definedName>
    <definedName name="paidyokogawa">SUM('[67]pa-mtly'!$O$161:$S$161)</definedName>
    <definedName name="paidyork">SUM('[67]pa-mtly'!$O$162:$S$162)</definedName>
    <definedName name="ParasBL17">'[68]Balance Life'!$N$52</definedName>
    <definedName name="ParasResLife">[33]Assumptions!$B$42</definedName>
    <definedName name="ParasResLife16" localSheetId="0">'[34]Inputs &amp; Assumptions'!$D$10</definedName>
    <definedName name="ParasResLife16">'[34]Inputs &amp; Assumptions'!$D$10</definedName>
    <definedName name="Parli67ResLife16" localSheetId="0">'[34]Inputs &amp; Assumptions'!$D$6</definedName>
    <definedName name="Parli67ResLife16">'[34]Inputs &amp; Assumptions'!$D$6</definedName>
    <definedName name="ParliResLife">[33]Assumptions!$B$37</definedName>
    <definedName name="ParliResLife16" localSheetId="0">'[34]Inputs &amp; Assumptions'!$D$5</definedName>
    <definedName name="ParliResLife16">'[34]Inputs &amp; Assumptions'!$D$5</definedName>
    <definedName name="ParliResLife17" localSheetId="0">'[34]Inputs &amp; Assumptions'!$G$18</definedName>
    <definedName name="ParliResLife17">'[34]Inputs &amp; Assumptions'!$G$18</definedName>
    <definedName name="PartDesignation">[29]Masters!$C$16</definedName>
    <definedName name="pas">'[24]a-4'!$E$35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[69]Input!$M$61</definedName>
    <definedName name="Price_hike_FO">[69]Input!$M$63</definedName>
    <definedName name="Price_hike_Imported_Coal">[69]Input!$M$62</definedName>
    <definedName name="Price_hike_LDO">[69]Input!$M$64</definedName>
    <definedName name="_xlnm.Print_Area" localSheetId="0">#REF!</definedName>
    <definedName name="_xlnm.Print_Area">#REF!</definedName>
    <definedName name="PRINT_AREA_MI">#REF!</definedName>
    <definedName name="_xlnm.Print_Titles" localSheetId="0">#REF!</definedName>
    <definedName name="_xlnm.Print_Titles">#REF!</definedName>
    <definedName name="PrintPG1">#REF!</definedName>
    <definedName name="PUR">#N/A</definedName>
    <definedName name="PY">[43]NP!$L$1</definedName>
    <definedName name="q" hidden="1">{"'Sheet1'!$A$4386:$N$4591"}</definedName>
    <definedName name="RMB">[70]Data!$D$10</definedName>
    <definedName name="ROEFY1718">[71]Input!$D$4</definedName>
    <definedName name="ROEFY1819">[71]Input!$D$5</definedName>
    <definedName name="ROEFY1920">[71]Input!$D$6</definedName>
    <definedName name="ROEFY2021">[71]Input!$D$7</definedName>
    <definedName name="ROEFY2122">[71]Input!$D$8</definedName>
    <definedName name="ROEFY2223">[71]Input!$D$9</definedName>
    <definedName name="ROEFY2324">[71]Input!$D$10</definedName>
    <definedName name="ROEFY2425">[71]Input!$D$11</definedName>
    <definedName name="ROff">'[72]Instruction Sheet'!$D$33</definedName>
    <definedName name="RSIN">[22]Sheet3!$D$3</definedName>
    <definedName name="S">#REF!</definedName>
    <definedName name="S_CY_End_Data">[73]Lead!$F$1:$F$490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'[74]Instruction Sheet'!$D$31</definedName>
    <definedName name="SCHv">[47]sep01!$A$1:$L$51</definedName>
    <definedName name="SDF">#REF!</definedName>
    <definedName name="sdfgdfg">#REF!</definedName>
    <definedName name="SECOAL">#REF!</definedName>
    <definedName name="SEOREP">#REF!</definedName>
    <definedName name="SEREPORT">#REF!</definedName>
    <definedName name="shft1">[48]SUMMERY!$P$1</definedName>
    <definedName name="shftI" localSheetId="0">[75]SUMMERY!$P$1</definedName>
    <definedName name="shftI">[75]SUMMERY!$P$1</definedName>
    <definedName name="SKF">#N/A</definedName>
    <definedName name="SL">[18]Details!$D$195</definedName>
    <definedName name="spcl">[76]deb!$A$45:$G$49</definedName>
    <definedName name="spcl1">[76]deb!$A$45:$G$49</definedName>
    <definedName name="States">[77]Codes!$C$20:$C$55</definedName>
    <definedName name="STX">[21]BS!$A$1</definedName>
    <definedName name="t">#REF!</definedName>
    <definedName name="TAFName">[29]Masters!$C$19</definedName>
    <definedName name="TAMNo">[29]Masters!$C$23</definedName>
    <definedName name="TAName">[29]Masters!$C$20</definedName>
    <definedName name="TAPlace">[29]Masters!$C$43</definedName>
    <definedName name="TaxAudAdd">[29]Masters!$C$24</definedName>
    <definedName name="TaxAuditDate">[29]Masters!$C$40</definedName>
    <definedName name="TaxPaid10" localSheetId="0">[45]Assumptions!$B$22</definedName>
    <definedName name="TaxPaid10">[45]Assumptions!$B$22</definedName>
    <definedName name="TaxRate11" localSheetId="0">[45]Assumptions!$B$20</definedName>
    <definedName name="TaxRate11">[45]Assumptions!$B$20</definedName>
    <definedName name="Taxrate12">#REF!</definedName>
    <definedName name="TaxTV">10%</definedName>
    <definedName name="TaxXL">5%</definedName>
    <definedName name="tb">[78]TRIALBALANCE!$A$5:$H$255</definedName>
    <definedName name="TD">[43]NP!$M$1</definedName>
    <definedName name="TextRefCopyRangeCount" hidden="1">1</definedName>
    <definedName name="total_exposure_curr_rate">'[79]po-log - curr. rate'!$AH$91</definedName>
    <definedName name="TotalRoE10" localSheetId="0">[45]Assumptions!$B$23</definedName>
    <definedName name="TotalRoE10">[45]Assumptions!$B$23</definedName>
    <definedName name="tripping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NIT1">#REF!</definedName>
    <definedName name="uNIT2">#REF!</definedName>
    <definedName name="uNIT3">#REF!</definedName>
    <definedName name="UranResLife">[33]Assumptions!$B$43</definedName>
    <definedName name="UranResLife16" localSheetId="0">'[34]Inputs &amp; Assumptions'!$D$11</definedName>
    <definedName name="UranResLife16">'[34]Inputs &amp; Assumptions'!$D$11</definedName>
    <definedName name="USDPP">[43]PP!$I$4</definedName>
    <definedName name="values">'[80]Determination of Threshold'!$B$3,'[80]Determination of Threshold'!$B$4,'[80]Determination of Threshold'!$B$15</definedName>
    <definedName name="VALuta">'[57]x-rate'!$A$2:$B$11</definedName>
    <definedName name="W">#REF!</definedName>
    <definedName name="water">'[5]FY 24-25 total'!$S$585,'[5]FY 24-25 total'!$P$576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fsf">#REF!</definedName>
    <definedName name="Working_capital_Rate_of_Interest_for_FY_10_11" localSheetId="0">[30]Assumption_PwC!$C$116</definedName>
    <definedName name="Working_capital_Rate_of_Interest_for_FY_10_11">[30]Assumption_PwC!$C$116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hidden="1">[9]CE!#REF!</definedName>
    <definedName name="X1_">#REF!</definedName>
    <definedName name="X11__?___QUIT_">#REF!</definedName>
    <definedName name="XREF_COLUMN_3" hidden="1">'[81]12'!$K$1:$K$65536</definedName>
    <definedName name="XRefColumnsCount" hidden="1">2</definedName>
    <definedName name="XRefCopy22Row" hidden="1">[81]XREF!$A$3:$IV$3</definedName>
    <definedName name="XRefCopy24Row" hidden="1">[81]XREF!$A$5:$IV$5</definedName>
    <definedName name="XRefCopy25Row" hidden="1">[81]XREF!$A$6:$IV$6</definedName>
    <definedName name="XRefCopy26Row" hidden="1">[81]XREF!$A$7:$IV$7</definedName>
    <definedName name="XRefCopy27" hidden="1">'[81]12'!$J$28</definedName>
    <definedName name="XRefCopy27Row" hidden="1">[81]XREF!$A$8:$IV$8</definedName>
    <definedName name="XRefCopyRangeCount" hidden="1">2</definedName>
    <definedName name="XRefPasteRangeCount" hidden="1">2</definedName>
    <definedName name="xsxa" hidden="1">{"'Sheet1'!$A$4386:$N$4591"}</definedName>
    <definedName name="xx">'[82]2000-01'!#REF!</definedName>
    <definedName name="xxx" hidden="1">[9]CE!#REF!</definedName>
    <definedName name="xxxx" hidden="1">[9]CE!#REF!</definedName>
    <definedName name="ye">'[23]Clause 9'!$A$3</definedName>
    <definedName name="YEAR">#REF!</definedName>
    <definedName name="YEAR1">#REF!</definedName>
    <definedName name="YearStart2">'[83]PL6-Revenue Bridge'!$B$14</definedName>
    <definedName name="YearStart3">'[83]PL6-Revenue Bridge'!$B$21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0" i="1" l="1"/>
  <c r="AA50" i="1"/>
  <c r="AC49" i="1"/>
  <c r="AC51" i="1" s="1"/>
  <c r="H5" i="1" s="1"/>
  <c r="O49" i="1"/>
  <c r="N49" i="1"/>
  <c r="M49" i="1"/>
  <c r="L49" i="1"/>
  <c r="AC44" i="1"/>
  <c r="K44" i="1"/>
  <c r="J44" i="1"/>
  <c r="I44" i="1"/>
  <c r="H44" i="1"/>
  <c r="G44" i="1"/>
  <c r="F44" i="1"/>
  <c r="E44" i="1"/>
  <c r="D44" i="1"/>
  <c r="C44" i="1"/>
  <c r="C43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K28" i="1"/>
  <c r="J28" i="1"/>
  <c r="I28" i="1"/>
  <c r="H28" i="1"/>
  <c r="G28" i="1"/>
  <c r="F28" i="1"/>
  <c r="E28" i="1"/>
  <c r="D28" i="1"/>
  <c r="C28" i="1"/>
  <c r="K23" i="1"/>
  <c r="J23" i="1"/>
  <c r="I23" i="1"/>
  <c r="H23" i="1"/>
  <c r="G23" i="1"/>
  <c r="F23" i="1"/>
  <c r="E23" i="1"/>
  <c r="D23" i="1"/>
  <c r="C23" i="1"/>
  <c r="AC19" i="1"/>
  <c r="AC29" i="1" s="1"/>
  <c r="C10" i="1"/>
  <c r="C15" i="1" s="1"/>
  <c r="C16" i="1" s="1"/>
  <c r="X9" i="1"/>
  <c r="Q9" i="1"/>
  <c r="D9" i="1"/>
  <c r="I8" i="1"/>
  <c r="H8" i="1"/>
  <c r="G8" i="1"/>
  <c r="D8" i="1"/>
  <c r="R6" i="1"/>
  <c r="R7" i="1" s="1"/>
  <c r="R5" i="1"/>
  <c r="R4" i="1"/>
  <c r="D4" i="1"/>
  <c r="D15" i="1" l="1"/>
  <c r="D16" i="1" s="1"/>
  <c r="C17" i="1"/>
  <c r="AC33" i="1"/>
  <c r="AC43" i="1"/>
  <c r="AC34" i="1" l="1"/>
  <c r="AC45" i="1" s="1"/>
  <c r="X10" i="1" s="1"/>
  <c r="X11" i="1" s="1"/>
  <c r="R8" i="1" s="1"/>
  <c r="R9" i="1" s="1"/>
  <c r="AC35" i="1"/>
  <c r="E15" i="1"/>
  <c r="E16" i="1" s="1"/>
  <c r="D17" i="1"/>
  <c r="F15" i="1" l="1"/>
  <c r="F16" i="1" s="1"/>
  <c r="E17" i="1"/>
  <c r="D5" i="1"/>
  <c r="D6" i="1" s="1"/>
  <c r="Q10" i="1"/>
  <c r="AC46" i="1"/>
  <c r="C32" i="1" l="1"/>
  <c r="C19" i="1"/>
  <c r="C27" i="1"/>
  <c r="G15" i="1"/>
  <c r="G16" i="1" s="1"/>
  <c r="F17" i="1"/>
  <c r="G17" i="1" l="1"/>
  <c r="H15" i="1"/>
  <c r="H16" i="1" s="1"/>
  <c r="C29" i="1"/>
  <c r="D27" i="1"/>
  <c r="F32" i="1"/>
  <c r="F34" i="1" s="1"/>
  <c r="F20" i="1" s="1"/>
  <c r="C34" i="1"/>
  <c r="C20" i="1" s="1"/>
  <c r="C21" i="1" s="1"/>
  <c r="K32" i="1"/>
  <c r="J32" i="1"/>
  <c r="I32" i="1"/>
  <c r="H32" i="1"/>
  <c r="G32" i="1"/>
  <c r="G34" i="1" s="1"/>
  <c r="G20" i="1" s="1"/>
  <c r="E32" i="1"/>
  <c r="E34" i="1" s="1"/>
  <c r="E20" i="1" s="1"/>
  <c r="D32" i="1"/>
  <c r="D34" i="1" s="1"/>
  <c r="D20" i="1" s="1"/>
  <c r="D19" i="1" l="1"/>
  <c r="C22" i="1"/>
  <c r="C24" i="1" s="1"/>
  <c r="I15" i="1"/>
  <c r="I16" i="1" s="1"/>
  <c r="H17" i="1"/>
  <c r="D29" i="1"/>
  <c r="E27" i="1"/>
  <c r="H34" i="1"/>
  <c r="H20" i="1" s="1"/>
  <c r="E29" i="1" l="1"/>
  <c r="F27" i="1"/>
  <c r="I17" i="1"/>
  <c r="I34" i="1" s="1"/>
  <c r="I20" i="1" s="1"/>
  <c r="J15" i="1"/>
  <c r="J16" i="1" s="1"/>
  <c r="D21" i="1"/>
  <c r="E19" i="1" s="1"/>
  <c r="D22" i="1"/>
  <c r="D24" i="1" s="1"/>
  <c r="J17" i="1" l="1"/>
  <c r="J34" i="1" s="1"/>
  <c r="J20" i="1" s="1"/>
  <c r="K15" i="1"/>
  <c r="K16" i="1" s="1"/>
  <c r="E21" i="1"/>
  <c r="F19" i="1" s="1"/>
  <c r="E22" i="1"/>
  <c r="E24" i="1" s="1"/>
  <c r="G27" i="1"/>
  <c r="F29" i="1"/>
  <c r="G29" i="1" l="1"/>
  <c r="H27" i="1"/>
  <c r="L15" i="1"/>
  <c r="L16" i="1" s="1"/>
  <c r="M15" i="1" s="1"/>
  <c r="M16" i="1" s="1"/>
  <c r="N15" i="1" s="1"/>
  <c r="N16" i="1" s="1"/>
  <c r="K17" i="1"/>
  <c r="K34" i="1" s="1"/>
  <c r="K20" i="1" s="1"/>
  <c r="F22" i="1"/>
  <c r="F24" i="1" s="1"/>
  <c r="F21" i="1"/>
  <c r="G19" i="1" s="1"/>
  <c r="G21" i="1" l="1"/>
  <c r="H19" i="1" s="1"/>
  <c r="H29" i="1"/>
  <c r="I27" i="1"/>
  <c r="I29" i="1" l="1"/>
  <c r="J27" i="1"/>
  <c r="H21" i="1"/>
  <c r="I19" i="1" s="1"/>
  <c r="H22" i="1"/>
  <c r="H24" i="1" s="1"/>
  <c r="G22" i="1"/>
  <c r="G24" i="1" s="1"/>
  <c r="I21" i="1" l="1"/>
  <c r="J19" i="1" s="1"/>
  <c r="J29" i="1"/>
  <c r="K27" i="1"/>
  <c r="K29" i="1" s="1"/>
  <c r="J21" i="1" l="1"/>
  <c r="K19" i="1" s="1"/>
  <c r="I22" i="1"/>
  <c r="I24" i="1" s="1"/>
  <c r="K21" i="1" l="1"/>
  <c r="K22" i="1"/>
  <c r="K24" i="1" s="1"/>
  <c r="J22" i="1"/>
  <c r="J24" i="1" s="1"/>
  <c r="C37" i="1" l="1"/>
  <c r="D37" i="1"/>
  <c r="E37" i="1"/>
  <c r="F37" i="1"/>
  <c r="G37" i="1"/>
  <c r="H37" i="1"/>
  <c r="I37" i="1"/>
  <c r="J37" i="1"/>
  <c r="K37" i="1"/>
  <c r="C39" i="1"/>
  <c r="D39" i="1"/>
  <c r="E39" i="1"/>
  <c r="F39" i="1"/>
  <c r="G39" i="1"/>
  <c r="H39" i="1"/>
  <c r="I39" i="1"/>
  <c r="J39" i="1"/>
  <c r="K39" i="1"/>
  <c r="C41" i="1"/>
  <c r="D41" i="1"/>
  <c r="E41" i="1"/>
  <c r="F41" i="1"/>
  <c r="G41" i="1"/>
  <c r="H41" i="1"/>
  <c r="I41" i="1"/>
  <c r="J41" i="1"/>
  <c r="K41" i="1"/>
  <c r="C45" i="1"/>
  <c r="D45" i="1"/>
  <c r="E45" i="1"/>
  <c r="F45" i="1"/>
  <c r="G45" i="1"/>
  <c r="H45" i="1"/>
  <c r="I45" i="1"/>
  <c r="J45" i="1"/>
  <c r="K45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3" i="1"/>
</calcChain>
</file>

<file path=xl/sharedStrings.xml><?xml version="1.0" encoding="utf-8"?>
<sst xmlns="http://schemas.openxmlformats.org/spreadsheetml/2006/main" count="142" uniqueCount="126">
  <si>
    <t>Bhusawal 4&amp;5 capitalisation in FY 14-15 on a/c of Liquidated damages</t>
  </si>
  <si>
    <t xml:space="preserve">Details of additional cost (claim) of Rs. 20.76 Cr. for Bhusawal-2x500 MW BoP contract awarded to M/s TPL </t>
  </si>
  <si>
    <t>Particulars</t>
  </si>
  <si>
    <t>Revised Cost of the project as per actual/recoverable LD (Approved in Case No. 227 of 2022)</t>
  </si>
  <si>
    <t>Revised Cost of the project as per actual/recoverable LD</t>
  </si>
  <si>
    <t>Sr no.</t>
  </si>
  <si>
    <t>Amount in Crore</t>
  </si>
  <si>
    <t>Impact of Finalisation of LD amount in case of Bhusawal 4-5</t>
  </si>
  <si>
    <t>Impact of discharge of undischarge liabilities  in case of Bhusawal Unit 4-5</t>
  </si>
  <si>
    <t>Rs. crore</t>
  </si>
  <si>
    <t>Arbitration expenses  (Pre-award expenses already done)</t>
  </si>
  <si>
    <t>Capital Cost Approved in Case No. 227 of 2022 (after considering LD impact of Rs. 44.5 Cr, excluding Rs20.76 Cr to be paid in FY 22-23)</t>
  </si>
  <si>
    <t>Rs Crore</t>
  </si>
  <si>
    <t>FY 22-23</t>
  </si>
  <si>
    <t>FY 23-24</t>
  </si>
  <si>
    <t>FY 24-25</t>
  </si>
  <si>
    <t>Hard Cost</t>
  </si>
  <si>
    <t>Amount allowed in Award</t>
  </si>
  <si>
    <t>Capital Cost to be approved</t>
  </si>
  <si>
    <t>UDL discharged</t>
  </si>
  <si>
    <t>IDC</t>
  </si>
  <si>
    <t xml:space="preserve"> a.</t>
  </si>
  <si>
    <t>Additional work</t>
  </si>
  <si>
    <t>Additional Capital cost to be allowed</t>
  </si>
  <si>
    <t>Less: 50% of the estimated Liquidated Damages</t>
  </si>
  <si>
    <t>b.</t>
  </si>
  <si>
    <t>Prolongation cost</t>
  </si>
  <si>
    <t>Approved D/E Ratio</t>
  </si>
  <si>
    <t>Debt</t>
  </si>
  <si>
    <t>Capital Cost</t>
  </si>
  <si>
    <t>c.</t>
  </si>
  <si>
    <t>Cost of maintaining BG</t>
  </si>
  <si>
    <t xml:space="preserve">Loan </t>
  </si>
  <si>
    <t>%</t>
  </si>
  <si>
    <t>Equity</t>
  </si>
  <si>
    <r>
      <t xml:space="preserve">Plus </t>
    </r>
    <r>
      <rPr>
        <sz val="11"/>
        <color theme="1"/>
        <rFont val="Calibri"/>
        <family val="2"/>
        <scheme val="minor"/>
      </rPr>
      <t>Additional Capital cost burden considering the Arbitration award &amp; cost of arbitration</t>
    </r>
  </si>
  <si>
    <t>d.</t>
  </si>
  <si>
    <t>Arbitration expenses  (Awarded in Final Arbitration Award)</t>
  </si>
  <si>
    <t xml:space="preserve">Equity </t>
  </si>
  <si>
    <t xml:space="preserve">Total capital cost </t>
  </si>
  <si>
    <t>Sub Total (a+b+c+d)</t>
  </si>
  <si>
    <t>CoD</t>
  </si>
  <si>
    <t>Differential Additional capital cost claim in this petition</t>
  </si>
  <si>
    <t>Interest allowed to TPL</t>
  </si>
  <si>
    <t>Total Claim (1+2+3)</t>
  </si>
  <si>
    <t>Bhusawal 4-5</t>
  </si>
  <si>
    <t>Bhusawal 2 x 500 MW Arbitration Expenses Claim and UDL</t>
  </si>
  <si>
    <t xml:space="preserve">Financial Impact </t>
  </si>
  <si>
    <t>Days</t>
  </si>
  <si>
    <t>Point in Arbitration Award</t>
  </si>
  <si>
    <t>Description</t>
  </si>
  <si>
    <t>Amount (Rs Crore)</t>
  </si>
  <si>
    <t xml:space="preserve">Interest on Loan </t>
  </si>
  <si>
    <t>Point No 926</t>
  </si>
  <si>
    <t xml:space="preserve">Opening Loan </t>
  </si>
  <si>
    <t>Point No 929</t>
  </si>
  <si>
    <t>Additional Work</t>
  </si>
  <si>
    <t>Loan Repayment</t>
  </si>
  <si>
    <t>Point No 785</t>
  </si>
  <si>
    <t>Retaining Wall</t>
  </si>
  <si>
    <t xml:space="preserve">Closing Loan </t>
  </si>
  <si>
    <t>Point No 786, 792</t>
  </si>
  <si>
    <t>Additional RCC encasing</t>
  </si>
  <si>
    <t xml:space="preserve">Average Loan </t>
  </si>
  <si>
    <t>Point No 793/806</t>
  </si>
  <si>
    <t>Increase in Box culvert Size</t>
  </si>
  <si>
    <t>Interest Rate</t>
  </si>
  <si>
    <t>Point No 807 / 816</t>
  </si>
  <si>
    <t>Increase in depth of CW pump house</t>
  </si>
  <si>
    <t>Point 817, , 828</t>
  </si>
  <si>
    <t>Ash pipeline</t>
  </si>
  <si>
    <t>Point No 829, ,  839</t>
  </si>
  <si>
    <t>Boiler lift</t>
  </si>
  <si>
    <t>RoE</t>
  </si>
  <si>
    <t>Point No 840, , 850</t>
  </si>
  <si>
    <t>Boiler illumination work</t>
  </si>
  <si>
    <t xml:space="preserve">Opening Equity </t>
  </si>
  <si>
    <t>Point No 933</t>
  </si>
  <si>
    <t>Arbitrartion Expenses-1</t>
  </si>
  <si>
    <t>Rate of ROE</t>
  </si>
  <si>
    <t>Point No</t>
  </si>
  <si>
    <t>BG Charges</t>
  </si>
  <si>
    <t>ROE</t>
  </si>
  <si>
    <t>Amount Allowed in Award Total (A)</t>
  </si>
  <si>
    <t xml:space="preserve">Depreciation </t>
  </si>
  <si>
    <t xml:space="preserve"> (B) Add Wrongful Recoery</t>
  </si>
  <si>
    <t>Addition to GFA</t>
  </si>
  <si>
    <t>( C) Chimney retention Amount</t>
  </si>
  <si>
    <t xml:space="preserve">Depreciation rate on Plant and Mahinery </t>
  </si>
  <si>
    <t>(D) Total Amount of DD including Interest</t>
  </si>
  <si>
    <t>( E) Add interest</t>
  </si>
  <si>
    <t xml:space="preserve">Total </t>
  </si>
  <si>
    <t xml:space="preserve">Interest on Working Capital </t>
  </si>
  <si>
    <t>Addition in Recievable for 2 months</t>
  </si>
  <si>
    <t>MSPGCL has deposited DD of Rs 46 Crore (DD No 023985 dated 04.07.2023) to High Court Mumbai</t>
  </si>
  <si>
    <t>Rate of Interest</t>
  </si>
  <si>
    <t>DD drawn in favor of "The Prothonotary and Senior Master High Court Bombay"</t>
  </si>
  <si>
    <t>IOWC</t>
  </si>
  <si>
    <t>Additional ARR to be allowed</t>
  </si>
  <si>
    <t xml:space="preserve">Normative Availability </t>
  </si>
  <si>
    <t xml:space="preserve">Actual Availability </t>
  </si>
  <si>
    <t>Pre award expenses already incurrerd Arbitrartion Expenses-2</t>
  </si>
  <si>
    <t>Amount to be recovered considering actual AVF</t>
  </si>
  <si>
    <t xml:space="preserve">( E) </t>
  </si>
  <si>
    <t>Interest Allowed to TPL</t>
  </si>
  <si>
    <t>Claim for Incremental capital cost</t>
  </si>
  <si>
    <t xml:space="preserve">Carrying Cost 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</si>
  <si>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</si>
  <si>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</si>
  <si>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</si>
  <si>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</si>
  <si>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</si>
  <si>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</si>
  <si>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</si>
  <si>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</si>
  <si>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</si>
  <si>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</si>
  <si>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</si>
  <si>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</si>
  <si>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</si>
  <si>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opening Amount</t>
  </si>
  <si>
    <t>Discharge of Undischarged Liability</t>
  </si>
  <si>
    <t>Addition during the year</t>
  </si>
  <si>
    <t>(B) Wrongful recovery discharged</t>
  </si>
  <si>
    <t>Total Amount</t>
  </si>
  <si>
    <t>Total Amount Claimed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</si>
</sst>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Book Antiqu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43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3" applyFont="1" applyBorder="1"/>
    <xf numFmtId="43" fontId="0" fillId="5" borderId="1" xfId="1" applyFont="1" applyFill="1" applyBorder="1" applyAlignment="1">
      <alignment horizontal="center" vertical="center" wrapText="1"/>
    </xf>
    <xf numFmtId="2" fontId="2" fillId="6" borderId="1" xfId="0" applyNumberFormat="1" applyFont="1" applyFill="1" applyBorder="1"/>
    <xf numFmtId="43" fontId="0" fillId="0" borderId="0" xfId="0" applyNumberFormat="1"/>
    <xf numFmtId="9" fontId="0" fillId="5" borderId="1" xfId="0" applyNumberFormat="1" applyFill="1" applyBorder="1"/>
    <xf numFmtId="165" fontId="0" fillId="5" borderId="1" xfId="0" applyNumberFormat="1" applyFill="1" applyBorder="1"/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14" fontId="0" fillId="0" borderId="1" xfId="0" applyNumberFormat="1" applyBorder="1"/>
    <xf numFmtId="0" fontId="2" fillId="0" borderId="1" xfId="0" applyFont="1" applyBorder="1" applyAlignment="1">
      <alignment horizontal="justify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14" fontId="0" fillId="0" borderId="0" xfId="0" applyNumberFormat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14" fontId="2" fillId="7" borderId="1" xfId="0" applyNumberFormat="1" applyFont="1" applyFill="1" applyBorder="1"/>
    <xf numFmtId="0" fontId="2" fillId="0" borderId="0" xfId="4" applyFont="1" applyAlignment="1">
      <alignment horizontal="left"/>
    </xf>
    <xf numFmtId="0" fontId="0" fillId="0" borderId="0" xfId="4" applyFont="1"/>
    <xf numFmtId="1" fontId="0" fillId="0" borderId="1" xfId="0" applyNumberFormat="1" applyBorder="1"/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0" borderId="1" xfId="0" applyFont="1" applyBorder="1"/>
    <xf numFmtId="0" fontId="2" fillId="0" borderId="1" xfId="4" applyFont="1" applyBorder="1" applyAlignment="1">
      <alignment horizontal="left"/>
    </xf>
    <xf numFmtId="0" fontId="2" fillId="0" borderId="1" xfId="4" applyFont="1" applyBorder="1"/>
    <xf numFmtId="2" fontId="2" fillId="0" borderId="1" xfId="4" applyNumberFormat="1" applyFont="1" applyBorder="1"/>
    <xf numFmtId="0" fontId="8" fillId="0" borderId="1" xfId="4" applyFont="1" applyBorder="1" applyAlignment="1">
      <alignment horizontal="left" indent="2"/>
    </xf>
    <xf numFmtId="43" fontId="8" fillId="0" borderId="1" xfId="1" applyFont="1" applyBorder="1" applyAlignment="1">
      <alignment horizontal="left" indent="4"/>
    </xf>
    <xf numFmtId="10" fontId="0" fillId="0" borderId="1" xfId="2" applyNumberFormat="1" applyFont="1" applyFill="1" applyBorder="1"/>
    <xf numFmtId="10" fontId="0" fillId="0" borderId="1" xfId="0" applyNumberFormat="1" applyBorder="1"/>
    <xf numFmtId="43" fontId="2" fillId="0" borderId="1" xfId="1" applyFont="1" applyBorder="1" applyAlignment="1">
      <alignment horizontal="right" indent="2"/>
    </xf>
    <xf numFmtId="0" fontId="2" fillId="0" borderId="1" xfId="4" applyFont="1" applyBorder="1" applyAlignment="1">
      <alignment horizontal="centerContinuous"/>
    </xf>
    <xf numFmtId="2" fontId="0" fillId="0" borderId="0" xfId="4" applyNumberFormat="1" applyFont="1"/>
    <xf numFmtId="0" fontId="0" fillId="0" borderId="0" xfId="4" applyFont="1" applyAlignment="1">
      <alignment horizontal="left"/>
    </xf>
    <xf numFmtId="0" fontId="0" fillId="0" borderId="1" xfId="4" applyFont="1" applyBorder="1" applyAlignment="1">
      <alignment horizontal="left"/>
    </xf>
    <xf numFmtId="0" fontId="0" fillId="0" borderId="1" xfId="4" applyFont="1" applyBorder="1"/>
    <xf numFmtId="2" fontId="0" fillId="0" borderId="1" xfId="4" applyNumberFormat="1" applyFont="1" applyBorder="1"/>
    <xf numFmtId="10" fontId="0" fillId="0" borderId="0" xfId="0" applyNumberFormat="1"/>
    <xf numFmtId="0" fontId="2" fillId="9" borderId="1" xfId="0" applyFont="1" applyFill="1" applyBorder="1"/>
    <xf numFmtId="2" fontId="2" fillId="9" borderId="1" xfId="0" applyNumberFormat="1" applyFont="1" applyFill="1" applyBorder="1"/>
    <xf numFmtId="166" fontId="0" fillId="0" borderId="0" xfId="4" applyNumberFormat="1" applyFont="1"/>
    <xf numFmtId="0" fontId="2" fillId="2" borderId="1" xfId="4" applyFont="1" applyFill="1" applyBorder="1" applyAlignment="1">
      <alignment horizontal="left" vertical="center"/>
    </xf>
    <xf numFmtId="9" fontId="0" fillId="0" borderId="1" xfId="0" applyNumberFormat="1" applyBorder="1"/>
    <xf numFmtId="9" fontId="0" fillId="0" borderId="1" xfId="2" applyFont="1" applyFill="1" applyBorder="1"/>
    <xf numFmtId="0" fontId="0" fillId="0" borderId="1" xfId="4" applyFont="1" applyBorder="1" applyAlignment="1">
      <alignment horizontal="left" vertical="top" wrapText="1"/>
    </xf>
    <xf numFmtId="0" fontId="2" fillId="9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0" fillId="0" borderId="4" xfId="4" applyFont="1" applyBorder="1" applyAlignment="1">
      <alignment horizontal="left"/>
    </xf>
    <xf numFmtId="0" fontId="0" fillId="0" borderId="4" xfId="4" applyFont="1" applyBorder="1"/>
    <xf numFmtId="0" fontId="0" fillId="0" borderId="5" xfId="4" applyFont="1" applyBorder="1" applyAlignment="1">
      <alignment horizontal="left"/>
    </xf>
    <xf numFmtId="0" fontId="0" fillId="0" borderId="6" xfId="4" applyFont="1" applyBorder="1"/>
    <xf numFmtId="0" fontId="0" fillId="0" borderId="3" xfId="4" applyFont="1" applyBorder="1"/>
    <xf numFmtId="2" fontId="2" fillId="10" borderId="1" xfId="0" applyNumberFormat="1" applyFont="1" applyFill="1" applyBorder="1"/>
    <xf numFmtId="0" fontId="0" fillId="0" borderId="2" xfId="4" applyFont="1" applyBorder="1" applyAlignment="1">
      <alignment horizontal="left"/>
    </xf>
    <xf numFmtId="0" fontId="2" fillId="0" borderId="3" xfId="4" applyFont="1" applyBorder="1"/>
    <xf numFmtId="2" fontId="2" fillId="0" borderId="1" xfId="0" applyNumberFormat="1" applyFont="1" applyBorder="1"/>
    <xf numFmtId="1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right"/>
    </xf>
  </cellXfs>
  <cellStyles count="5">
    <cellStyle name="Comma" xfId="1" builtinId="3"/>
    <cellStyle name="Comma 2 2 3" xfId="3" xr:uid="{EC43BBCA-8D5A-492D-8AC2-E90F28A2FC92}"/>
    <cellStyle name="Normal" xfId="0" builtinId="0"/>
    <cellStyle name="Normal 103 2" xfId="4" xr:uid="{5A44A9D1-A663-49D6-8849-B43DA1EDC7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Clean%20Model_Case%20No.%20227%20of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RK%20PEN%20DATA_28.01.2008/Performance/PERFORMANCE/ocm/Yearly_perf/OCMJAN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TR/Data/Case_No._201_of_2014-Draft_Model-16.03.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TR/Model/True-up%20&amp;%20MTR%20Summary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/MERC%20Cases%202017/196%20of%202017/Revised%20Petition/To%20MERC_21.06.2018_FINAL/Annexure%201_MTR%20petition%20format_%2021.06.2018/Consolidated%20MTR%20formats_20-06-2018_FINAL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TR/Data/MSPGCL%20MYT%20Order-Final%20Model_MERC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TR/Data/Draft%20Model%20Case%20No.%20196%20of%20%202017-05.09.2018%20for%20reference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S%20EMI/Downloads/201-04REL-Fin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eview Order_180 of 2020"/>
      <sheetName val="BTPS_4-5 LD Impact"/>
      <sheetName val="KRD_8-10 LD impact"/>
      <sheetName val="CPR8-9 UDL impact"/>
      <sheetName val="Parli8 UDL impact"/>
      <sheetName val="GFA"/>
      <sheetName val="IoL"/>
      <sheetName val="RoE"/>
      <sheetName val="MoF"/>
      <sheetName val="Rate of RoE"/>
      <sheetName val="Depreciation (Summary)"/>
      <sheetName val="Depreciation"/>
      <sheetName val="O&amp;M (Summary)"/>
      <sheetName val="O&amp;M expenses"/>
      <sheetName val="EC"/>
      <sheetName val="Price &amp; GCV of fuels"/>
      <sheetName val="IoWC"/>
      <sheetName val="Hydro tariff"/>
      <sheetName val="Sharing of AUX"/>
      <sheetName val="AFC reduction"/>
      <sheetName val="ARR"/>
      <sheetName val="Summary of true-up"/>
      <sheetName val="Total gap(surplus)"/>
      <sheetName val="Summary of Tariff"/>
    </sheetNames>
    <sheetDataSet>
      <sheetData sheetId="0"/>
      <sheetData sheetId="1"/>
      <sheetData sheetId="2">
        <row r="5">
          <cell r="D5">
            <v>6302.29</v>
          </cell>
        </row>
      </sheetData>
      <sheetData sheetId="3">
        <row r="5">
          <cell r="G5">
            <v>183.47</v>
          </cell>
        </row>
      </sheetData>
      <sheetData sheetId="4"/>
      <sheetData sheetId="5"/>
      <sheetData sheetId="6">
        <row r="7">
          <cell r="Z7">
            <v>3.4063698999999996</v>
          </cell>
        </row>
      </sheetData>
      <sheetData sheetId="7">
        <row r="6">
          <cell r="AW6">
            <v>1.3120477311902958</v>
          </cell>
        </row>
        <row r="32">
          <cell r="H32">
            <v>0.10440610348375437</v>
          </cell>
          <cell r="U32">
            <v>0.10491534110348838</v>
          </cell>
          <cell r="AH32">
            <v>0.10431028216235365</v>
          </cell>
        </row>
      </sheetData>
      <sheetData sheetId="8">
        <row r="24">
          <cell r="R24">
            <v>95.735024512780882</v>
          </cell>
        </row>
        <row r="33">
          <cell r="G33">
            <v>0.155</v>
          </cell>
          <cell r="M33">
            <v>0.14500000000000002</v>
          </cell>
          <cell r="S33">
            <v>0.14000000000000001</v>
          </cell>
        </row>
      </sheetData>
      <sheetData sheetId="9">
        <row r="5">
          <cell r="AG5">
            <v>0</v>
          </cell>
        </row>
      </sheetData>
      <sheetData sheetId="10">
        <row r="13">
          <cell r="K13">
            <v>0</v>
          </cell>
        </row>
      </sheetData>
      <sheetData sheetId="11">
        <row r="25">
          <cell r="X25">
            <v>8.9107337894947563</v>
          </cell>
        </row>
      </sheetData>
      <sheetData sheetId="12">
        <row r="6">
          <cell r="C6">
            <v>0</v>
          </cell>
        </row>
      </sheetData>
      <sheetData sheetId="13">
        <row r="34">
          <cell r="H34">
            <v>327.19381096612739</v>
          </cell>
        </row>
      </sheetData>
      <sheetData sheetId="14">
        <row r="25">
          <cell r="K25">
            <v>3.9374645938216254E-2</v>
          </cell>
        </row>
      </sheetData>
      <sheetData sheetId="15">
        <row r="5">
          <cell r="AC5">
            <v>3202</v>
          </cell>
        </row>
      </sheetData>
      <sheetData sheetId="16">
        <row r="78">
          <cell r="I78">
            <v>43042.511526228787</v>
          </cell>
        </row>
      </sheetData>
      <sheetData sheetId="17">
        <row r="23">
          <cell r="J23">
            <v>9.6600000000000005E-2</v>
          </cell>
        </row>
        <row r="32">
          <cell r="J32">
            <v>9.6600000000000005E-2</v>
          </cell>
        </row>
        <row r="50">
          <cell r="J50">
            <v>8.5699999999999998E-2</v>
          </cell>
        </row>
        <row r="68">
          <cell r="J68">
            <v>8.5000000000000006E-2</v>
          </cell>
        </row>
      </sheetData>
      <sheetData sheetId="18">
        <row r="10">
          <cell r="G10">
            <v>142.27395097268763</v>
          </cell>
        </row>
      </sheetData>
      <sheetData sheetId="19"/>
      <sheetData sheetId="20">
        <row r="14">
          <cell r="D14">
            <v>0.83720000000000006</v>
          </cell>
        </row>
        <row r="32">
          <cell r="D32">
            <v>0.9250669189028532</v>
          </cell>
        </row>
        <row r="50">
          <cell r="D50">
            <v>0.77809702374267975</v>
          </cell>
        </row>
      </sheetData>
      <sheetData sheetId="21">
        <row r="62">
          <cell r="T62">
            <v>3.9892058040198344</v>
          </cell>
        </row>
      </sheetData>
      <sheetData sheetId="22">
        <row r="6">
          <cell r="AB6">
            <v>1617.4522786292432</v>
          </cell>
        </row>
      </sheetData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Assumptions"/>
      <sheetName val="Tables for Order"/>
      <sheetName val="ARR"/>
      <sheetName val="Summary of True up"/>
      <sheetName val="Hard Cost"/>
      <sheetName val="Base Case IDC"/>
      <sheetName val="Actual IDC"/>
      <sheetName val="Project Cost"/>
      <sheetName val="Performance Parameters"/>
      <sheetName val="SHR for Unit # 5"/>
      <sheetName val="Fuel Prices"/>
      <sheetName val="Other Variable Charges"/>
      <sheetName val="Means of Finance"/>
      <sheetName val="Energy Charge"/>
      <sheetName val="GFA&amp;Depreciation"/>
      <sheetName val="O&amp;M"/>
      <sheetName val="Int. on loan"/>
      <sheetName val="RoE"/>
      <sheetName val="IWC"/>
      <sheetName val="Fuel Cost-IWC"/>
      <sheetName val="AFC Reduction"/>
      <sheetName val="CC-Pr. AFC-Bh. U4"/>
      <sheetName val="Rev. loss-Aux."/>
      <sheetName val="Backup"/>
      <sheetName val="F1"/>
      <sheetName val="F2.1"/>
      <sheetName val="F2.2"/>
      <sheetName val="F 3.1"/>
      <sheetName val="F3.7"/>
      <sheetName val="F 4.1 "/>
      <sheetName val="F5"/>
      <sheetName val="F 7"/>
      <sheetName val="Actual IDC-MSPGCL"/>
      <sheetName val="Contract Prices"/>
      <sheetName val="Base Case IDC-MSPGCL"/>
      <sheetName val="Escalation Rate for O&amp;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T10">
            <v>0.80277920677705039</v>
          </cell>
          <cell r="W10">
            <v>0.85</v>
          </cell>
        </row>
      </sheetData>
      <sheetData sheetId="10"/>
      <sheetData sheetId="11"/>
      <sheetData sheetId="12"/>
      <sheetData sheetId="13">
        <row r="7">
          <cell r="N7">
            <v>0.79589404612563919</v>
          </cell>
        </row>
        <row r="8">
          <cell r="N8">
            <v>0.20410595387436081</v>
          </cell>
        </row>
      </sheetData>
      <sheetData sheetId="14"/>
      <sheetData sheetId="15"/>
      <sheetData sheetId="16"/>
      <sheetData sheetId="17">
        <row r="10">
          <cell r="F10">
            <v>0.1225</v>
          </cell>
          <cell r="H10">
            <v>0.1225</v>
          </cell>
        </row>
      </sheetData>
      <sheetData sheetId="18">
        <row r="8">
          <cell r="F8">
            <v>0.155</v>
          </cell>
          <cell r="H8">
            <v>0.155</v>
          </cell>
        </row>
      </sheetData>
      <sheetData sheetId="19">
        <row r="11">
          <cell r="H11">
            <v>0.14449999999999999</v>
          </cell>
          <cell r="J11">
            <v>0.14449999999999999</v>
          </cell>
        </row>
      </sheetData>
      <sheetData sheetId="20"/>
      <sheetData sheetId="21">
        <row r="4">
          <cell r="F4">
            <v>0.8</v>
          </cell>
        </row>
        <row r="9">
          <cell r="E9">
            <v>0.71184057971014503</v>
          </cell>
          <cell r="H9">
            <v>14.156314470346913</v>
          </cell>
        </row>
        <row r="10">
          <cell r="E10">
            <v>0.52400000000000002</v>
          </cell>
          <cell r="H10">
            <v>243.69109266474055</v>
          </cell>
        </row>
        <row r="11">
          <cell r="E11">
            <v>0.65846808510638299</v>
          </cell>
          <cell r="H11">
            <v>47.823951782180302</v>
          </cell>
        </row>
        <row r="12">
          <cell r="H12">
            <v>305.67135891726775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-wise summary"/>
      <sheetName val="Review Impact"/>
      <sheetName val="LD"/>
      <sheetName val="UDL"/>
      <sheetName val="BTPS_4-5 LD Impact"/>
      <sheetName val="KRD_8-10 LD impact"/>
      <sheetName val="CPR8-9 UDL impact"/>
      <sheetName val="Parli8 UDL impact"/>
      <sheetName val="FY 2014-15"/>
      <sheetName val="Sheet1"/>
      <sheetName val="FY 2015-16"/>
      <sheetName val="FY 2016-17"/>
      <sheetName val="FY 2017-18"/>
      <sheetName val="Dep Rate"/>
      <sheetName val="FY 2018-19"/>
      <sheetName val="FY 2019-20"/>
      <sheetName val="FY 2020-21"/>
      <sheetName val="FY 2021-22"/>
      <sheetName val="Rates"/>
      <sheetName val="COD's"/>
      <sheetName val="FY24&amp;25"/>
      <sheetName val="FY 2021-22_Koradi6-7"/>
      <sheetName val="Sheet2"/>
      <sheetName val="FY 2022-23_1H"/>
      <sheetName val="FY 2022-23_2H"/>
      <sheetName val="MTR_B"/>
      <sheetName val="Esc rate"/>
      <sheetName val="O&amp;M (4th MYT) Approved"/>
      <sheetName val="O&amp;M (4th MYT)_R"/>
      <sheetName val="Summary"/>
      <sheetName val="Hydro"/>
      <sheetName val="9.1_FY 20"/>
      <sheetName val="9.1_FY 21"/>
      <sheetName val="9.1_FY 22"/>
      <sheetName val="9.1_FY 23"/>
      <sheetName val="9.1_FY 24"/>
      <sheetName val="9.1_FY 25"/>
    </sheetNames>
    <sheetDataSet>
      <sheetData sheetId="0"/>
      <sheetData sheetId="1"/>
      <sheetData sheetId="2"/>
      <sheetData sheetId="3">
        <row r="5">
          <cell r="C5">
            <v>49.09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5">
          <cell r="R365">
            <v>117.47504091412834</v>
          </cell>
        </row>
      </sheetData>
      <sheetData sheetId="16">
        <row r="365">
          <cell r="R365">
            <v>71.550160621230248</v>
          </cell>
        </row>
      </sheetData>
      <sheetData sheetId="17">
        <row r="64">
          <cell r="D64">
            <v>145220</v>
          </cell>
        </row>
      </sheetData>
      <sheetData sheetId="18"/>
      <sheetData sheetId="19">
        <row r="8">
          <cell r="G8">
            <v>41642</v>
          </cell>
        </row>
      </sheetData>
      <sheetData sheetId="20"/>
      <sheetData sheetId="21"/>
      <sheetData sheetId="22"/>
      <sheetData sheetId="23">
        <row r="486">
          <cell r="G486">
            <v>8.9488372093023252E-2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apacity"/>
      <sheetName val="Availability"/>
      <sheetName val="PLF"/>
      <sheetName val="AUX"/>
      <sheetName val="Energy"/>
      <sheetName val="GSHR"/>
      <sheetName val="SFOC"/>
      <sheetName val="Transit Loss"/>
      <sheetName val="MSPGCL Fuel Data-MYT"/>
      <sheetName val="GCV data"/>
      <sheetName val="Fuel Prices"/>
      <sheetName val="GCV of fuels"/>
      <sheetName val="EC-FY 2017-18"/>
      <sheetName val="EC-FY 2018-19"/>
      <sheetName val="EC-FY 2019-20"/>
      <sheetName val="ECR(Summary)"/>
      <sheetName val="MYT(PPT)"/>
      <sheetName val="EC-FY 2020-21"/>
      <sheetName val="EC-FY 2021-22 "/>
      <sheetName val="EC-FY 2022-23 "/>
      <sheetName val="EC-FY 2023-24 "/>
      <sheetName val="EC-FY 2024-25"/>
      <sheetName val="Other charges"/>
      <sheetName val="Capex Input"/>
      <sheetName val="Add Cap Input-R"/>
      <sheetName val="Addl. Cap.(Summary)"/>
      <sheetName val="Addl. Cap.(4th MYT)"/>
      <sheetName val="RoE"/>
      <sheetName val="IoL"/>
      <sheetName val="RSD"/>
      <sheetName val="Depreciation(Summary)"/>
      <sheetName val="Addl. Cap.(Asset class wise)"/>
      <sheetName val="Depreciation"/>
      <sheetName val="O&amp;M"/>
      <sheetName val="O&amp;M (4th MYT)"/>
      <sheetName val="IoWC"/>
      <sheetName val="NTI"/>
      <sheetName val="HYDRO Tariff"/>
      <sheetName val="AFC Reduction"/>
      <sheetName val="Sharing of AUX"/>
      <sheetName val="Summary of True up"/>
      <sheetName val="True-up impact"/>
      <sheetName val="Sheet1"/>
      <sheetName val="Tariff (Order)"/>
      <sheetName val="AFC@Target Availability"/>
      <sheetName val="True-up(PPT)"/>
      <sheetName val="F2.6(SHP)"/>
      <sheetName val="F2.6(Bhira)"/>
      <sheetName val="F2.6(Koyna)"/>
      <sheetName val="Sheet2"/>
      <sheetName val="F2.6(Tillari)"/>
      <sheetName val="F2.2(Bhusawal)"/>
      <sheetName val="F2.3(Bhusawal)"/>
      <sheetName val="F2.2(CPR)"/>
      <sheetName val="F2.3(CPR)"/>
      <sheetName val="F2.2(KPKD)"/>
      <sheetName val="F2.3(KPKD)"/>
      <sheetName val="F2.2(Koradi)"/>
      <sheetName val="F2.3(Koradi)"/>
      <sheetName val="F2.2(Nashik)"/>
      <sheetName val="F2.3(Nashik)"/>
      <sheetName val="F2.2(Uran)"/>
      <sheetName val="F2.3(Uran)"/>
      <sheetName val="F2.2(Paras 3&amp;4)"/>
      <sheetName val="F2.3(Paras 3&amp;4)"/>
      <sheetName val="F2.2(Parli 6&amp;7)"/>
      <sheetName val="F2.3(Parli 6&amp;7)"/>
      <sheetName val="F2.2(KPKD 5)"/>
      <sheetName val="F2.3(KPKD 5)"/>
      <sheetName val="F2.2(BSWL 4&amp;5)"/>
      <sheetName val="F2.3(BSWL 4&amp;5)"/>
      <sheetName val="F2.2(Koradi 8-10)"/>
      <sheetName val="F2.3(Koradi 8-10)"/>
      <sheetName val="F2.2(CPR 8&amp;9)"/>
      <sheetName val="F2.3(CPR 8&amp;9)"/>
      <sheetName val="F2.2(Parli 8)"/>
      <sheetName val="F2.3(Parli 8)"/>
      <sheetName val="F5(BSWL)"/>
      <sheetName val="F5(CPR)"/>
      <sheetName val="F5(KPKD)"/>
      <sheetName val="F5(Koradi)"/>
      <sheetName val="F5(Nasik)"/>
      <sheetName val="F5(Parli)"/>
      <sheetName val="F5(Uran)"/>
      <sheetName val="F5(Paras 3&amp;4)"/>
      <sheetName val="F5(Parli 6&amp;7)"/>
      <sheetName val="F5(KPKD 5)"/>
      <sheetName val="F5(BSWL 4&amp;5)"/>
      <sheetName val="F5(Koradi 8-10)"/>
      <sheetName val="F5(CPR 8&amp;9)"/>
      <sheetName val="F5(Parli 8)"/>
      <sheetName val="F5(SHP)"/>
      <sheetName val="F5(Bhira)"/>
      <sheetName val="F5(Koyna)"/>
      <sheetName val="F5(Tillari)"/>
      <sheetName val="F6(BSWL)"/>
      <sheetName val="F6(CPR)"/>
      <sheetName val="F6(KPKD)"/>
      <sheetName val="F6(Koradi)"/>
      <sheetName val="F6(Nasik)"/>
      <sheetName val="F6(Parli)"/>
      <sheetName val="F6(Uran)"/>
      <sheetName val="F6(Paras 3&amp;4)"/>
      <sheetName val="F6(Parli 6&amp;7)"/>
      <sheetName val="F6(KPKD 5)"/>
      <sheetName val="F6(BSWL 4&amp;5)"/>
      <sheetName val="F6(Koradi 8-10)"/>
      <sheetName val="F6(CPR 8&amp;9)"/>
      <sheetName val="F6(Parli 8)"/>
      <sheetName val="F6(SHP)"/>
      <sheetName val="F6(Bhira)"/>
      <sheetName val="F6(Koyna)"/>
      <sheetName val="F6(Tillari)"/>
      <sheetName val="F7(BSWL)"/>
      <sheetName val="F7(CPR)"/>
      <sheetName val="F7(KPKD)"/>
      <sheetName val="F7(Koradi)"/>
      <sheetName val="F7(Nasik)"/>
      <sheetName val="F7(Uran)"/>
      <sheetName val="F7(Paras 3&amp;4)"/>
      <sheetName val="F7(Parli 6&amp;7)"/>
      <sheetName val="F7(KPKD 5)"/>
      <sheetName val="F7(BSWL 4&amp;5)"/>
      <sheetName val="F7(Koradi 8-10)"/>
      <sheetName val="F7(CPR 8&amp;9)"/>
      <sheetName val="F7(Parli 8)"/>
      <sheetName val="F7(SHP)"/>
      <sheetName val="F7(Bhira)"/>
      <sheetName val="F7(Koyna)"/>
      <sheetName val="F7(Tillari)"/>
      <sheetName val="Q5 Bhusawal (U-2,3)"/>
      <sheetName val="Q5 Bhusawal (U-4,5)"/>
      <sheetName val="Q5 Cpur (U-1,7,9)"/>
      <sheetName val="Q5 Cpur (U-8)"/>
      <sheetName val="Q5 Nasik"/>
      <sheetName val="Q5 Paras"/>
      <sheetName val="Q5 Parli (U-6,7)"/>
      <sheetName val="Q5 Parli (U-8)"/>
      <sheetName val="Q5 KPKD (U-1,4)"/>
      <sheetName val="Q5 KPKD (U-5)"/>
      <sheetName val="Q5 Koradi (U-5 to 7)"/>
      <sheetName val="Q5 Koradi (U-8)"/>
      <sheetName val="MSPGCL MYT Order-Final Model_ME"/>
    </sheetNames>
    <sheetDataSet>
      <sheetData sheetId="0"/>
      <sheetData sheetId="1">
        <row r="4">
          <cell r="P4">
            <v>210</v>
          </cell>
        </row>
      </sheetData>
      <sheetData sheetId="2">
        <row r="5">
          <cell r="R5">
            <v>0.8</v>
          </cell>
        </row>
      </sheetData>
      <sheetData sheetId="3"/>
      <sheetData sheetId="4"/>
      <sheetData sheetId="5">
        <row r="5">
          <cell r="Z5">
            <v>703.71517440000002</v>
          </cell>
        </row>
      </sheetData>
      <sheetData sheetId="6">
        <row r="5">
          <cell r="U5">
            <v>2787</v>
          </cell>
        </row>
      </sheetData>
      <sheetData sheetId="7"/>
      <sheetData sheetId="8"/>
      <sheetData sheetId="9"/>
      <sheetData sheetId="10"/>
      <sheetData sheetId="11">
        <row r="25">
          <cell r="BF25">
            <v>5258.210976358384</v>
          </cell>
        </row>
      </sheetData>
      <sheetData sheetId="12">
        <row r="26">
          <cell r="BI26">
            <v>3964.9276719705058</v>
          </cell>
        </row>
      </sheetData>
      <sheetData sheetId="13"/>
      <sheetData sheetId="14"/>
      <sheetData sheetId="15">
        <row r="20">
          <cell r="E20">
            <v>284.58694125776566</v>
          </cell>
        </row>
      </sheetData>
      <sheetData sheetId="16"/>
      <sheetData sheetId="17"/>
      <sheetData sheetId="18">
        <row r="20">
          <cell r="E20">
            <v>449.86750551669519</v>
          </cell>
        </row>
      </sheetData>
      <sheetData sheetId="19">
        <row r="20">
          <cell r="E20">
            <v>460.45165183461796</v>
          </cell>
        </row>
      </sheetData>
      <sheetData sheetId="20">
        <row r="20">
          <cell r="E20">
            <v>471.3040282359413</v>
          </cell>
        </row>
      </sheetData>
      <sheetData sheetId="21">
        <row r="8">
          <cell r="E8">
            <v>1152.1827080467199</v>
          </cell>
        </row>
      </sheetData>
      <sheetData sheetId="22">
        <row r="8">
          <cell r="E8">
            <v>1149.0346678608</v>
          </cell>
        </row>
      </sheetData>
      <sheetData sheetId="23"/>
      <sheetData sheetId="24"/>
      <sheetData sheetId="25"/>
      <sheetData sheetId="26">
        <row r="16">
          <cell r="L16">
            <v>0</v>
          </cell>
        </row>
      </sheetData>
      <sheetData sheetId="27"/>
      <sheetData sheetId="28">
        <row r="24">
          <cell r="Z24">
            <v>89.133073493956374</v>
          </cell>
        </row>
        <row r="34">
          <cell r="G34">
            <v>0.155</v>
          </cell>
          <cell r="T34">
            <v>7.4999999999999997E-2</v>
          </cell>
          <cell r="AD34">
            <v>7.4999999999999997E-2</v>
          </cell>
          <cell r="AN34">
            <v>0.155</v>
          </cell>
        </row>
      </sheetData>
      <sheetData sheetId="29">
        <row r="24">
          <cell r="AA24">
            <v>34.508363690814583</v>
          </cell>
        </row>
        <row r="34">
          <cell r="G34">
            <v>0.1194686786871291</v>
          </cell>
          <cell r="S34">
            <v>0.10340001163871815</v>
          </cell>
          <cell r="AE34">
            <v>0.10351991314976036</v>
          </cell>
          <cell r="AQ34">
            <v>0.103649711893677</v>
          </cell>
        </row>
      </sheetData>
      <sheetData sheetId="30"/>
      <sheetData sheetId="31">
        <row r="14">
          <cell r="AB14">
            <v>172.96337472319405</v>
          </cell>
        </row>
      </sheetData>
      <sheetData sheetId="32"/>
      <sheetData sheetId="33">
        <row r="6">
          <cell r="U6">
            <v>3.4063698999999996</v>
          </cell>
        </row>
      </sheetData>
      <sheetData sheetId="34">
        <row r="1">
          <cell r="AU1">
            <v>2.5000000000000001E-2</v>
          </cell>
        </row>
      </sheetData>
      <sheetData sheetId="35">
        <row r="29">
          <cell r="D29">
            <v>139.44999999999999</v>
          </cell>
        </row>
      </sheetData>
      <sheetData sheetId="36">
        <row r="24">
          <cell r="J24">
            <v>0.14050000000000001</v>
          </cell>
        </row>
        <row r="34">
          <cell r="J34">
            <v>0.14050000000000001</v>
          </cell>
          <cell r="W34">
            <v>0.1079</v>
          </cell>
          <cell r="AJ34">
            <v>0.1018</v>
          </cell>
          <cell r="AW34">
            <v>9.8900000000000002E-2</v>
          </cell>
        </row>
      </sheetData>
      <sheetData sheetId="37">
        <row r="5">
          <cell r="AI5">
            <v>2.73</v>
          </cell>
        </row>
      </sheetData>
      <sheetData sheetId="38"/>
      <sheetData sheetId="39">
        <row r="15">
          <cell r="D15">
            <v>0.80900000000000005</v>
          </cell>
        </row>
        <row r="34">
          <cell r="D34">
            <v>0.82030000000000003</v>
          </cell>
        </row>
      </sheetData>
      <sheetData sheetId="40"/>
      <sheetData sheetId="41"/>
      <sheetData sheetId="42"/>
      <sheetData sheetId="43"/>
      <sheetData sheetId="44">
        <row r="24">
          <cell r="O24">
            <v>533.76</v>
          </cell>
        </row>
      </sheetData>
      <sheetData sheetId="45">
        <row r="100">
          <cell r="E100">
            <v>1650.6036212464592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SL 500 Incr Claim-186 of 2024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Op Parameters MYT"/>
      <sheetName val="FY 22-23"/>
      <sheetName val="BTPS_4-5 LD Impact"/>
      <sheetName val="FY 23-24"/>
      <sheetName val="FY 24-25 H1"/>
      <sheetName val="Fuel Projection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Esc rates"/>
      <sheetName val="COD'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>
        <row r="4">
          <cell r="H4">
            <v>9.2987671232876712E-2</v>
          </cell>
        </row>
        <row r="17">
          <cell r="H17">
            <v>0.10065163934426231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76">
          <cell r="P576">
            <v>1.0966819999999999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mpact of Case No. 28 of 2013"/>
      <sheetName val="Capacity"/>
      <sheetName val="Availability"/>
      <sheetName val="PLF"/>
      <sheetName val="AUX"/>
      <sheetName val="Energy"/>
      <sheetName val="EC(Summary)"/>
      <sheetName val="GSHR"/>
      <sheetName val="SFOC"/>
      <sheetName val="Transit Loss"/>
      <sheetName val="Prices of fuels"/>
      <sheetName val="GCV of fuels"/>
      <sheetName val="EC-FY 2015-16"/>
      <sheetName val="EC-FY 2016-17"/>
      <sheetName val="EC-FY 2017-18"/>
      <sheetName val="EC-FY 2018-19(Oct-Dec '17)"/>
      <sheetName val="EC-FY 2018-19(Jan- Mar '18)"/>
      <sheetName val="EC-FY 2018-19(Apr-Jun '18)"/>
      <sheetName val="EC-FY 2019-20 (Oct-Dec '17)"/>
      <sheetName val="EC-FY 2019-20(Jan-Mar '18)"/>
      <sheetName val="EC-FY 2019-20 (Apr-Jun '18)"/>
      <sheetName val="Other charges"/>
      <sheetName val="DE(new Units)"/>
      <sheetName val="Addl. Cap.(Summary)"/>
      <sheetName val="RoE"/>
      <sheetName val="IoL"/>
      <sheetName val="Depreciation(Summary)"/>
      <sheetName val="O&amp;M"/>
      <sheetName val="IoWC"/>
      <sheetName val="NTI"/>
      <sheetName val="AFC@Target Availability"/>
      <sheetName val="AFC Reduction"/>
      <sheetName val="Sharing of AUX"/>
      <sheetName val="Summary of True up"/>
      <sheetName val="True-up impact"/>
      <sheetName val="Tariff"/>
      <sheetName val="ICC"/>
      <sheetName val="RSD-Parli"/>
      <sheetName val="Hydro Tariff"/>
      <sheetName val="Summary"/>
      <sheetName val="Addl. Cap.(Asset class wise)"/>
      <sheetName val="Depreciation"/>
      <sheetName val="Impact of Retirement"/>
      <sheetName val="Capex input-21.08.2018"/>
      <sheetName val="Capex input-FY 2015-16"/>
      <sheetName val="Capex input-FY 2016-17"/>
      <sheetName val="Capex input-FY 2017-18"/>
      <sheetName val="Revenue"/>
      <sheetName val="Normative O&amp;M"/>
      <sheetName val="Inflation Indices"/>
      <sheetName val="WPI(old base upto 2012)"/>
      <sheetName val="WPI(old base from 2013)"/>
      <sheetName val="MONTHLY_WPI(new base)"/>
      <sheetName val="TP15-16"/>
      <sheetName val="TP16-17"/>
      <sheetName val="TP17-18"/>
      <sheetName val="TP 18-19 19-20"/>
      <sheetName val="F1(Bhusawal)"/>
      <sheetName val="F1(Chandrapur)"/>
      <sheetName val="F1(KPKD)"/>
      <sheetName val="F1(Koradi)"/>
      <sheetName val="F1(Nashik)"/>
      <sheetName val="F1(Parli)"/>
      <sheetName val="F1(Uran)"/>
      <sheetName val="F1(PRS 3-4)"/>
      <sheetName val="F1(Parli 6-7)"/>
      <sheetName val="F1(KPKD 5)"/>
      <sheetName val="F1(Bhusawal 4-5)"/>
      <sheetName val="F1(Koradi 8,9 10)"/>
      <sheetName val="F1(Chandrapur 8-9)"/>
      <sheetName val="F1(Parli 8)"/>
      <sheetName val="F1(Hydro)"/>
      <sheetName val="F2.2(Bhusawal)"/>
      <sheetName val="F2.2(Chandrapur)"/>
      <sheetName val="F2.2(KPKD)"/>
      <sheetName val="F2.2(Koradi)"/>
      <sheetName val="F2.2(Nashik)"/>
      <sheetName val="F2.2(Parli)"/>
      <sheetName val="F2.2(Uran)"/>
      <sheetName val="F2.2(PRS 3-4)"/>
      <sheetName val="F2.2(Parli 6-7)"/>
      <sheetName val="F2.2(KPKD 5)"/>
      <sheetName val="F2.2(Bhusawal 4-5)"/>
      <sheetName val="F2.2(Koradi 8,9 10)"/>
      <sheetName val="F2.2(Chandrapur 8-9)"/>
      <sheetName val="F2.2(Parli 8)"/>
      <sheetName val="Fuel Cost Normative 15-16"/>
      <sheetName val="Fuel Cost Normative 16-17"/>
      <sheetName val="Fuel Cost Normative 17-18"/>
      <sheetName val="F4.3(Bhusawal)"/>
      <sheetName val="F4.3 (Chandrapur)"/>
      <sheetName val="F4.3(KPDK)"/>
      <sheetName val="F4.3(Koradi)"/>
      <sheetName val="F4.3(Nashik)"/>
      <sheetName val="F4.3(Parli)"/>
      <sheetName val="F4.3(Uran)"/>
      <sheetName val="F4.3(PRS 3-4)"/>
      <sheetName val="F4.3(Parli 6-7)"/>
      <sheetName val="F4.3(KPKD 5)"/>
      <sheetName val="F4.3(Bhusawal 4-5)"/>
      <sheetName val="F4.3 (Koradi 8,9 10)"/>
      <sheetName val="F4.3(Chandrapur 8-9)"/>
      <sheetName val="F4.3(Parli 8)"/>
      <sheetName val="F4.3(Koyna)"/>
      <sheetName val="F4.3 Tillari"/>
      <sheetName val="F4.3 Bhira"/>
      <sheetName val="F4.3 Pune SHPS"/>
      <sheetName val="F4.3 Nashik SHPS"/>
      <sheetName val="F2.5(Koyna)"/>
      <sheetName val="F2.5(Bhira)"/>
      <sheetName val="F2.5(Tillari)"/>
      <sheetName val="Latest fuel prices &amp; GCV"/>
      <sheetName val="Fuel-Oct17 to Dec17"/>
      <sheetName val="Fuel-Apr18 to Jun18"/>
      <sheetName val="Inputs for PPT"/>
      <sheetName val="PPT(ECR)"/>
      <sheetName val="PPT (Availability)"/>
      <sheetName val="Final discussion"/>
      <sheetName val="Tables for 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5">
          <cell r="T35">
            <v>7.4999999999999997E-2</v>
          </cell>
        </row>
      </sheetData>
      <sheetData sheetId="26">
        <row r="35">
          <cell r="AE35">
            <v>0.10555683479426466</v>
          </cell>
        </row>
      </sheetData>
      <sheetData sheetId="27"/>
      <sheetData sheetId="28"/>
      <sheetData sheetId="29">
        <row r="35">
          <cell r="W35">
            <v>0.1079</v>
          </cell>
        </row>
      </sheetData>
      <sheetData sheetId="30"/>
      <sheetData sheetId="31"/>
      <sheetData sheetId="32">
        <row r="15">
          <cell r="D15">
            <v>0.89090000000000003</v>
          </cell>
        </row>
        <row r="32">
          <cell r="D32">
            <v>0.93489999999999995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BD66-9F0B-4543-A78A-A5EADAC19C2A}">
  <dimension ref="B1:AI75"/>
  <sheetViews>
    <sheetView showGridLines="0" tabSelected="1" topLeftCell="A22" zoomScale="80" zoomScaleNormal="80" workbookViewId="0">
      <selection activeCell="L35" sqref="L35"/>
    </sheetView>
  </sheetViews>
  <sheetFormatPr defaultColWidth="8.81640625" defaultRowHeight="14.5" x14ac:dyDescent="0.35"/>
  <cols>
    <col min="2" max="2" width="41.1796875" customWidth="1"/>
    <col min="3" max="3" width="15.08984375" customWidth="1"/>
    <col min="4" max="4" width="10.6328125" bestFit="1" customWidth="1"/>
    <col min="5" max="8" width="10.453125" bestFit="1" customWidth="1"/>
    <col min="9" max="14" width="11.36328125" customWidth="1"/>
    <col min="16" max="16" width="50.81640625" customWidth="1"/>
    <col min="17" max="17" width="29.1796875" customWidth="1"/>
    <col min="18" max="18" width="26.6328125" customWidth="1"/>
    <col min="23" max="23" width="54.6328125" customWidth="1"/>
    <col min="24" max="24" width="27.1796875" customWidth="1"/>
    <col min="27" max="27" width="39.90625" style="3" customWidth="1"/>
    <col min="28" max="28" width="34.6328125" bestFit="1" customWidth="1"/>
    <col min="29" max="29" width="13.1796875" customWidth="1"/>
    <col min="32" max="32" width="15.7265625" bestFit="1" customWidth="1"/>
  </cols>
  <sheetData>
    <row r="1" spans="2:35" x14ac:dyDescent="0.35">
      <c r="P1" s="1" t="s">
        <v>0</v>
      </c>
      <c r="V1" s="2" t="s">
        <v>1</v>
      </c>
      <c r="AH1" s="2"/>
      <c r="AI1" s="2"/>
    </row>
    <row r="2" spans="2:35" ht="43.5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4" t="s">
        <v>2</v>
      </c>
      <c r="Q2" s="5" t="s">
        <v>3</v>
      </c>
      <c r="R2" s="5" t="s">
        <v>4</v>
      </c>
      <c r="V2" s="6" t="s">
        <v>5</v>
      </c>
      <c r="W2" s="6" t="s">
        <v>2</v>
      </c>
      <c r="X2" s="7" t="s">
        <v>6</v>
      </c>
    </row>
    <row r="3" spans="2:35" x14ac:dyDescent="0.35">
      <c r="B3" s="2" t="s">
        <v>7</v>
      </c>
      <c r="F3" s="2" t="s">
        <v>8</v>
      </c>
      <c r="P3" s="4"/>
      <c r="Q3" s="5" t="s">
        <v>9</v>
      </c>
      <c r="R3" s="5" t="s">
        <v>9</v>
      </c>
      <c r="V3" s="8">
        <v>1</v>
      </c>
      <c r="W3" s="9" t="s">
        <v>10</v>
      </c>
      <c r="X3" s="10">
        <v>3.0121000000000002</v>
      </c>
    </row>
    <row r="4" spans="2:35" x14ac:dyDescent="0.35">
      <c r="B4" s="11" t="s">
        <v>11</v>
      </c>
      <c r="C4" s="11" t="s">
        <v>12</v>
      </c>
      <c r="D4" s="12">
        <f>'[1]BTPS_4-5 LD Impact'!$D$5</f>
        <v>6302.29</v>
      </c>
      <c r="F4" s="13" t="s">
        <v>2</v>
      </c>
      <c r="G4" s="14" t="s">
        <v>13</v>
      </c>
      <c r="H4" s="14" t="s">
        <v>14</v>
      </c>
      <c r="I4" s="14" t="s">
        <v>15</v>
      </c>
      <c r="P4" s="15" t="s">
        <v>16</v>
      </c>
      <c r="Q4" s="16">
        <v>5099.924</v>
      </c>
      <c r="R4" s="16">
        <f>Q4</f>
        <v>5099.924</v>
      </c>
      <c r="V4" s="8">
        <v>2</v>
      </c>
      <c r="W4" s="17" t="s">
        <v>17</v>
      </c>
      <c r="X4" s="10"/>
    </row>
    <row r="5" spans="2:35" x14ac:dyDescent="0.35">
      <c r="B5" s="11" t="s">
        <v>18</v>
      </c>
      <c r="C5" s="11" t="s">
        <v>12</v>
      </c>
      <c r="D5" s="12">
        <f>$R$9</f>
        <v>6326.3360134699997</v>
      </c>
      <c r="F5" s="13" t="s">
        <v>19</v>
      </c>
      <c r="G5" s="18"/>
      <c r="H5" s="18">
        <f>AC51</f>
        <v>25.11</v>
      </c>
      <c r="I5" s="18"/>
      <c r="P5" s="15" t="s">
        <v>20</v>
      </c>
      <c r="Q5" s="16">
        <v>1327.634</v>
      </c>
      <c r="R5" s="16">
        <f t="shared" ref="R5" si="0">Q5</f>
        <v>1327.634</v>
      </c>
      <c r="V5" s="8" t="s">
        <v>21</v>
      </c>
      <c r="W5" s="9" t="s">
        <v>22</v>
      </c>
      <c r="X5" s="19">
        <v>9.1483000000000008</v>
      </c>
    </row>
    <row r="6" spans="2:35" x14ac:dyDescent="0.35">
      <c r="B6" s="11" t="s">
        <v>23</v>
      </c>
      <c r="C6" s="11" t="s">
        <v>12</v>
      </c>
      <c r="D6" s="20">
        <f>D5-D4</f>
        <v>24.046013469999707</v>
      </c>
      <c r="F6" s="11"/>
      <c r="G6" s="11"/>
      <c r="H6" s="11"/>
      <c r="I6" s="11"/>
      <c r="P6" s="15" t="s">
        <v>24</v>
      </c>
      <c r="Q6" s="16">
        <v>125.27</v>
      </c>
      <c r="R6" s="16">
        <f>Q6*0+250.2497 /2</f>
        <v>125.12485</v>
      </c>
      <c r="S6" s="21"/>
      <c r="V6" s="8" t="s">
        <v>25</v>
      </c>
      <c r="W6" s="9" t="s">
        <v>26</v>
      </c>
      <c r="X6" s="19">
        <v>4.8</v>
      </c>
    </row>
    <row r="7" spans="2:35" x14ac:dyDescent="0.35">
      <c r="B7" s="11" t="s">
        <v>27</v>
      </c>
      <c r="C7" s="11"/>
      <c r="D7" s="11"/>
      <c r="F7" s="11" t="s">
        <v>28</v>
      </c>
      <c r="G7" s="22">
        <v>0.7</v>
      </c>
      <c r="H7" s="22">
        <v>0.7</v>
      </c>
      <c r="I7" s="22">
        <v>0.7</v>
      </c>
      <c r="P7" s="15" t="s">
        <v>29</v>
      </c>
      <c r="Q7" s="16">
        <v>6302.29</v>
      </c>
      <c r="R7" s="16">
        <f>SUM(R4:R5)-R6</f>
        <v>6302.4331499999998</v>
      </c>
      <c r="V7" s="8" t="s">
        <v>30</v>
      </c>
      <c r="W7" s="9" t="s">
        <v>31</v>
      </c>
      <c r="X7" s="19">
        <v>3.6888000000000001</v>
      </c>
    </row>
    <row r="8" spans="2:35" ht="29" x14ac:dyDescent="0.35">
      <c r="B8" s="11" t="s">
        <v>32</v>
      </c>
      <c r="C8" s="11" t="s">
        <v>33</v>
      </c>
      <c r="D8" s="23">
        <f>'[2]Means of Finance'!N7</f>
        <v>0.79589404612563919</v>
      </c>
      <c r="F8" s="11" t="s">
        <v>34</v>
      </c>
      <c r="G8" s="22">
        <f t="shared" ref="G8:I8" si="1">1-G7</f>
        <v>0.30000000000000004</v>
      </c>
      <c r="H8" s="22">
        <f t="shared" si="1"/>
        <v>0.30000000000000004</v>
      </c>
      <c r="I8" s="22">
        <f t="shared" si="1"/>
        <v>0.30000000000000004</v>
      </c>
      <c r="P8" s="24" t="s">
        <v>35</v>
      </c>
      <c r="Q8" s="16"/>
      <c r="R8" s="16">
        <f>$X$11</f>
        <v>23.902863470000003</v>
      </c>
      <c r="V8" s="8" t="s">
        <v>36</v>
      </c>
      <c r="W8" s="9" t="s">
        <v>37</v>
      </c>
      <c r="X8" s="19">
        <v>0.10879999999999999</v>
      </c>
    </row>
    <row r="9" spans="2:35" x14ac:dyDescent="0.35">
      <c r="B9" s="11" t="s">
        <v>38</v>
      </c>
      <c r="C9" s="11" t="s">
        <v>33</v>
      </c>
      <c r="D9" s="23">
        <f>'[2]Means of Finance'!N8</f>
        <v>0.20410595387436081</v>
      </c>
      <c r="P9" s="25" t="s">
        <v>39</v>
      </c>
      <c r="Q9" s="16">
        <f>Q7+Q8</f>
        <v>6302.29</v>
      </c>
      <c r="R9" s="16">
        <f>SUM(R7:R8)</f>
        <v>6326.3360134699997</v>
      </c>
      <c r="V9" s="26"/>
      <c r="W9" s="27" t="s">
        <v>40</v>
      </c>
      <c r="X9" s="28">
        <f>SUM(X5:X8)</f>
        <v>17.745899999999999</v>
      </c>
    </row>
    <row r="10" spans="2:35" x14ac:dyDescent="0.35">
      <c r="B10" s="11" t="s">
        <v>41</v>
      </c>
      <c r="C10" s="29">
        <f>'[3]COD''s'!$G$8</f>
        <v>41642</v>
      </c>
      <c r="D10" s="11"/>
      <c r="P10" s="30" t="s">
        <v>42</v>
      </c>
      <c r="Q10" s="31">
        <f>R9-Q9</f>
        <v>24.046013469999707</v>
      </c>
      <c r="R10" s="32"/>
      <c r="V10" s="26">
        <v>3</v>
      </c>
      <c r="W10" s="27" t="s">
        <v>43</v>
      </c>
      <c r="X10" s="28">
        <f>AC45</f>
        <v>3.1448634700000042</v>
      </c>
    </row>
    <row r="11" spans="2:35" x14ac:dyDescent="0.35">
      <c r="V11" s="8">
        <v>4</v>
      </c>
      <c r="W11" s="27" t="s">
        <v>44</v>
      </c>
      <c r="X11" s="28">
        <f>X3+X9+X10</f>
        <v>23.902863470000003</v>
      </c>
    </row>
    <row r="12" spans="2:35" x14ac:dyDescent="0.35">
      <c r="C12" s="33"/>
    </row>
    <row r="14" spans="2:35" x14ac:dyDescent="0.35">
      <c r="B14" s="34"/>
      <c r="C14" s="35" t="s">
        <v>45</v>
      </c>
      <c r="D14" s="35"/>
      <c r="E14" s="35"/>
      <c r="F14" s="35"/>
      <c r="G14" s="35"/>
      <c r="H14" s="35"/>
      <c r="I14" s="35"/>
      <c r="J14" s="35"/>
      <c r="K14" s="35"/>
      <c r="L14" s="34"/>
      <c r="M14" s="34"/>
      <c r="N14" s="34"/>
      <c r="O14" s="34"/>
    </row>
    <row r="15" spans="2:35" x14ac:dyDescent="0.35">
      <c r="B15" s="34"/>
      <c r="C15" s="36">
        <f>C10</f>
        <v>41642</v>
      </c>
      <c r="D15" s="36">
        <f>C16+1</f>
        <v>41730</v>
      </c>
      <c r="E15" s="36">
        <f>D16+1</f>
        <v>42095</v>
      </c>
      <c r="F15" s="36">
        <f t="shared" ref="F15:N15" si="2">E16+1</f>
        <v>42461</v>
      </c>
      <c r="G15" s="36">
        <f t="shared" si="2"/>
        <v>42826</v>
      </c>
      <c r="H15" s="36">
        <f t="shared" si="2"/>
        <v>43191</v>
      </c>
      <c r="I15" s="36">
        <f t="shared" si="2"/>
        <v>43556</v>
      </c>
      <c r="J15" s="36">
        <f t="shared" si="2"/>
        <v>43922</v>
      </c>
      <c r="K15" s="36">
        <f t="shared" si="2"/>
        <v>44287</v>
      </c>
      <c r="L15" s="36">
        <f t="shared" si="2"/>
        <v>44652</v>
      </c>
      <c r="M15" s="36">
        <f t="shared" si="2"/>
        <v>45017</v>
      </c>
      <c r="N15" s="36">
        <f t="shared" si="2"/>
        <v>45383</v>
      </c>
      <c r="O15" s="36"/>
      <c r="P15" s="33"/>
      <c r="Q15" s="33"/>
      <c r="R15" s="33"/>
      <c r="AA15" s="37" t="s">
        <v>46</v>
      </c>
      <c r="AB15" s="38"/>
      <c r="AC15" s="38"/>
      <c r="AD15" s="38"/>
      <c r="AE15" s="38"/>
    </row>
    <row r="16" spans="2:35" x14ac:dyDescent="0.35">
      <c r="B16" s="34" t="s">
        <v>47</v>
      </c>
      <c r="C16" s="36">
        <f>IF(MONTH(C15)&gt;3,DATE(YEAR(C15)+1,3,31),DATE(YEAR(C15),3,31))</f>
        <v>41729</v>
      </c>
      <c r="D16" s="36">
        <f>DATE(YEAR(D15)+1,3,31)</f>
        <v>42094</v>
      </c>
      <c r="E16" s="36">
        <f t="shared" ref="E16:N16" si="3">DATE(YEAR(E15)+1,3,31)</f>
        <v>42460</v>
      </c>
      <c r="F16" s="36">
        <f t="shared" si="3"/>
        <v>42825</v>
      </c>
      <c r="G16" s="36">
        <f t="shared" si="3"/>
        <v>43190</v>
      </c>
      <c r="H16" s="36">
        <f t="shared" si="3"/>
        <v>43555</v>
      </c>
      <c r="I16" s="36">
        <f t="shared" si="3"/>
        <v>43921</v>
      </c>
      <c r="J16" s="36">
        <f t="shared" si="3"/>
        <v>44286</v>
      </c>
      <c r="K16" s="36">
        <f t="shared" si="3"/>
        <v>44651</v>
      </c>
      <c r="L16" s="36">
        <f t="shared" si="3"/>
        <v>45016</v>
      </c>
      <c r="M16" s="36">
        <f t="shared" si="3"/>
        <v>45382</v>
      </c>
      <c r="N16" s="36">
        <f t="shared" si="3"/>
        <v>45747</v>
      </c>
      <c r="O16" s="36"/>
      <c r="P16" s="33"/>
      <c r="Q16" s="33"/>
      <c r="R16" s="33"/>
      <c r="AA16" s="37"/>
      <c r="AB16" s="38"/>
      <c r="AC16" s="38"/>
      <c r="AD16" s="38"/>
      <c r="AE16" s="38"/>
    </row>
    <row r="17" spans="2:31" ht="29" x14ac:dyDescent="0.35">
      <c r="B17" s="11" t="s">
        <v>48</v>
      </c>
      <c r="C17" s="39">
        <f>_xlfn.DAYS(C16,C15)+1</f>
        <v>88</v>
      </c>
      <c r="D17" s="39">
        <f t="shared" ref="D17:K17" si="4">_xlfn.DAYS(D16,D15)+1</f>
        <v>365</v>
      </c>
      <c r="E17" s="39">
        <f t="shared" si="4"/>
        <v>366</v>
      </c>
      <c r="F17" s="39">
        <f t="shared" si="4"/>
        <v>365</v>
      </c>
      <c r="G17" s="39">
        <f t="shared" si="4"/>
        <v>365</v>
      </c>
      <c r="H17" s="39">
        <f t="shared" si="4"/>
        <v>365</v>
      </c>
      <c r="I17" s="39">
        <f t="shared" si="4"/>
        <v>366</v>
      </c>
      <c r="J17" s="39">
        <f t="shared" si="4"/>
        <v>365</v>
      </c>
      <c r="K17" s="39">
        <f t="shared" si="4"/>
        <v>365</v>
      </c>
      <c r="L17" s="29"/>
      <c r="M17" s="29"/>
      <c r="N17" s="29"/>
      <c r="O17" s="29"/>
      <c r="P17" s="33"/>
      <c r="Q17" s="33"/>
      <c r="R17" s="33"/>
      <c r="AA17" s="40" t="s">
        <v>49</v>
      </c>
      <c r="AB17" s="41" t="s">
        <v>50</v>
      </c>
      <c r="AC17" s="42" t="s">
        <v>51</v>
      </c>
      <c r="AD17" s="38"/>
      <c r="AE17" s="38"/>
    </row>
    <row r="18" spans="2:31" x14ac:dyDescent="0.35">
      <c r="B18" s="43" t="s">
        <v>52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AA18" s="45" t="s">
        <v>53</v>
      </c>
      <c r="AB18" s="46" t="s">
        <v>26</v>
      </c>
      <c r="AC18" s="47">
        <v>4.8</v>
      </c>
      <c r="AD18" s="38"/>
      <c r="AE18" s="38"/>
    </row>
    <row r="19" spans="2:31" x14ac:dyDescent="0.35">
      <c r="B19" s="11" t="s">
        <v>54</v>
      </c>
      <c r="C19" s="12">
        <f>D8*$D$6</f>
        <v>19.138078953829687</v>
      </c>
      <c r="D19" s="12">
        <f>C21</f>
        <v>18.831976496331038</v>
      </c>
      <c r="E19" s="12">
        <f t="shared" ref="E19:K19" si="5">D21</f>
        <v>17.562346985115052</v>
      </c>
      <c r="F19" s="12">
        <f t="shared" si="5"/>
        <v>16.289239036882037</v>
      </c>
      <c r="G19" s="12">
        <f t="shared" si="5"/>
        <v>15.019609525666052</v>
      </c>
      <c r="H19" s="12">
        <f t="shared" si="5"/>
        <v>13.749980014450067</v>
      </c>
      <c r="I19" s="12">
        <f t="shared" si="5"/>
        <v>12.480350503234082</v>
      </c>
      <c r="J19" s="12">
        <f t="shared" si="5"/>
        <v>11.207242555001066</v>
      </c>
      <c r="K19" s="12">
        <f t="shared" si="5"/>
        <v>9.9376130437850811</v>
      </c>
      <c r="L19" s="11"/>
      <c r="M19" s="11"/>
      <c r="N19" s="11"/>
      <c r="O19" s="11"/>
      <c r="AA19" s="45" t="s">
        <v>55</v>
      </c>
      <c r="AB19" s="46" t="s">
        <v>56</v>
      </c>
      <c r="AC19" s="47">
        <f>SUM(AC20:AC26)</f>
        <v>9.1483023299999999</v>
      </c>
      <c r="AD19" s="38"/>
      <c r="AE19" s="38"/>
    </row>
    <row r="20" spans="2:31" x14ac:dyDescent="0.35">
      <c r="B20" s="11" t="s">
        <v>57</v>
      </c>
      <c r="C20" s="12">
        <f>C34</f>
        <v>0.30610245749864834</v>
      </c>
      <c r="D20" s="12">
        <f>D34</f>
        <v>1.2696295112159846</v>
      </c>
      <c r="E20" s="12">
        <f t="shared" ref="E20:K20" si="6">E34</f>
        <v>1.2731079482330148</v>
      </c>
      <c r="F20" s="12">
        <f t="shared" si="6"/>
        <v>1.2696295112159846</v>
      </c>
      <c r="G20" s="12">
        <f t="shared" si="6"/>
        <v>1.2696295112159846</v>
      </c>
      <c r="H20" s="12">
        <f t="shared" si="6"/>
        <v>1.2696295112159846</v>
      </c>
      <c r="I20" s="12">
        <f t="shared" si="6"/>
        <v>1.2731079482330148</v>
      </c>
      <c r="J20" s="12">
        <f t="shared" si="6"/>
        <v>1.2696295112159846</v>
      </c>
      <c r="K20" s="12">
        <f t="shared" si="6"/>
        <v>1.2696295112159846</v>
      </c>
      <c r="L20" s="11"/>
      <c r="M20" s="11"/>
      <c r="N20" s="11"/>
      <c r="O20" s="11"/>
      <c r="AA20" s="48" t="s">
        <v>58</v>
      </c>
      <c r="AB20" s="48" t="s">
        <v>59</v>
      </c>
      <c r="AC20" s="49">
        <v>1.7626607999999999</v>
      </c>
      <c r="AD20" s="38"/>
      <c r="AE20" s="38"/>
    </row>
    <row r="21" spans="2:31" x14ac:dyDescent="0.35">
      <c r="B21" s="11" t="s">
        <v>60</v>
      </c>
      <c r="C21" s="12">
        <f>C19-C20</f>
        <v>18.831976496331038</v>
      </c>
      <c r="D21" s="12">
        <f>D19-D20</f>
        <v>17.562346985115052</v>
      </c>
      <c r="E21" s="12">
        <f t="shared" ref="E21:K21" si="7">E19-E20</f>
        <v>16.289239036882037</v>
      </c>
      <c r="F21" s="12">
        <f t="shared" si="7"/>
        <v>15.019609525666052</v>
      </c>
      <c r="G21" s="12">
        <f t="shared" si="7"/>
        <v>13.749980014450067</v>
      </c>
      <c r="H21" s="12">
        <f t="shared" si="7"/>
        <v>12.480350503234082</v>
      </c>
      <c r="I21" s="12">
        <f t="shared" si="7"/>
        <v>11.207242555001066</v>
      </c>
      <c r="J21" s="12">
        <f t="shared" si="7"/>
        <v>9.9376130437850811</v>
      </c>
      <c r="K21" s="12">
        <f t="shared" si="7"/>
        <v>8.6679835325690959</v>
      </c>
      <c r="L21" s="11"/>
      <c r="M21" s="11"/>
      <c r="N21" s="11"/>
      <c r="O21" s="11"/>
      <c r="AA21" s="48" t="s">
        <v>61</v>
      </c>
      <c r="AB21" s="48" t="s">
        <v>62</v>
      </c>
      <c r="AC21" s="49">
        <v>0.56183745500000004</v>
      </c>
      <c r="AD21" s="38"/>
      <c r="AE21" s="38"/>
    </row>
    <row r="22" spans="2:31" x14ac:dyDescent="0.35">
      <c r="B22" s="11" t="s">
        <v>63</v>
      </c>
      <c r="C22" s="12">
        <f>AVERAGE(C19,C21)</f>
        <v>18.985027725080364</v>
      </c>
      <c r="D22" s="12">
        <f>AVERAGE(D19,D21)</f>
        <v>18.197161740723047</v>
      </c>
      <c r="E22" s="12">
        <f t="shared" ref="E22:K22" si="8">AVERAGE(E19,E21)</f>
        <v>16.925793010998547</v>
      </c>
      <c r="F22" s="12">
        <f t="shared" si="8"/>
        <v>15.654424281274045</v>
      </c>
      <c r="G22" s="12">
        <f t="shared" si="8"/>
        <v>14.384794770058059</v>
      </c>
      <c r="H22" s="12">
        <f t="shared" si="8"/>
        <v>13.115165258842074</v>
      </c>
      <c r="I22" s="12">
        <f t="shared" si="8"/>
        <v>11.843796529117574</v>
      </c>
      <c r="J22" s="12">
        <f t="shared" si="8"/>
        <v>10.572427799393074</v>
      </c>
      <c r="K22" s="12">
        <f t="shared" si="8"/>
        <v>9.3027982881770885</v>
      </c>
      <c r="L22" s="11"/>
      <c r="M22" s="11"/>
      <c r="N22" s="11"/>
      <c r="O22" s="11"/>
      <c r="AA22" s="48" t="s">
        <v>64</v>
      </c>
      <c r="AB22" s="48" t="s">
        <v>65</v>
      </c>
      <c r="AC22" s="49">
        <v>0.34125182999999998</v>
      </c>
      <c r="AD22" s="38"/>
      <c r="AE22" s="38"/>
    </row>
    <row r="23" spans="2:31" x14ac:dyDescent="0.35">
      <c r="B23" s="11" t="s">
        <v>66</v>
      </c>
      <c r="C23" s="50">
        <f>'[2]Int. on loan'!$F$10</f>
        <v>0.1225</v>
      </c>
      <c r="D23" s="50">
        <f>'[2]Int. on loan'!$H$10</f>
        <v>0.1225</v>
      </c>
      <c r="E23" s="50">
        <f>[4]IoL!$G$34</f>
        <v>0.1194686786871291</v>
      </c>
      <c r="F23" s="50">
        <f>[4]IoL!$S$34</f>
        <v>0.10340001163871815</v>
      </c>
      <c r="G23" s="50">
        <f>[4]IoL!$AE$34</f>
        <v>0.10351991314976036</v>
      </c>
      <c r="H23" s="50">
        <f>[4]IoL!$AQ$34</f>
        <v>0.103649711893677</v>
      </c>
      <c r="I23" s="50">
        <f>[1]IoL!$H$32</f>
        <v>0.10440610348375437</v>
      </c>
      <c r="J23" s="50">
        <f>[1]IoL!$U$32</f>
        <v>0.10491534110348838</v>
      </c>
      <c r="K23" s="50">
        <f>[1]IoL!$AH$32</f>
        <v>0.10431028216235365</v>
      </c>
      <c r="L23" s="11"/>
      <c r="M23" s="11"/>
      <c r="N23" s="11"/>
      <c r="O23" s="11"/>
      <c r="AA23" s="48" t="s">
        <v>67</v>
      </c>
      <c r="AB23" s="48" t="s">
        <v>68</v>
      </c>
      <c r="AC23" s="49">
        <v>3.4741621450000002</v>
      </c>
      <c r="AD23" s="38"/>
      <c r="AE23" s="38"/>
    </row>
    <row r="24" spans="2:31" x14ac:dyDescent="0.35">
      <c r="B24" s="11" t="s">
        <v>52</v>
      </c>
      <c r="C24" s="12">
        <f>C23*C22/365*C17</f>
        <v>0.56070849007223655</v>
      </c>
      <c r="D24" s="12">
        <f>D23*D22</f>
        <v>2.2291523132385733</v>
      </c>
      <c r="E24" s="12">
        <f t="shared" ref="E24:K24" si="9">E23*E22</f>
        <v>2.0221021267558408</v>
      </c>
      <c r="F24" s="12">
        <f t="shared" si="9"/>
        <v>1.6186676528811681</v>
      </c>
      <c r="G24" s="12">
        <f t="shared" si="9"/>
        <v>1.4891127052735373</v>
      </c>
      <c r="H24" s="12">
        <f t="shared" si="9"/>
        <v>1.3593831005169428</v>
      </c>
      <c r="I24" s="12">
        <f t="shared" si="9"/>
        <v>1.2365646460595803</v>
      </c>
      <c r="J24" s="12">
        <f t="shared" si="9"/>
        <v>1.1092098688653274</v>
      </c>
      <c r="K24" s="12">
        <f t="shared" si="9"/>
        <v>0.9703775143392126</v>
      </c>
      <c r="L24" s="11"/>
      <c r="M24" s="11"/>
      <c r="N24" s="11"/>
      <c r="O24" s="11"/>
      <c r="AA24" s="48" t="s">
        <v>69</v>
      </c>
      <c r="AB24" s="48" t="s">
        <v>70</v>
      </c>
      <c r="AC24" s="49">
        <v>1.8683049</v>
      </c>
      <c r="AD24" s="38"/>
      <c r="AE24" s="38"/>
    </row>
    <row r="25" spans="2:31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A25" s="48" t="s">
        <v>71</v>
      </c>
      <c r="AB25" s="48" t="s">
        <v>72</v>
      </c>
      <c r="AC25" s="49">
        <v>0.1656019</v>
      </c>
      <c r="AD25" s="38"/>
      <c r="AE25" s="38"/>
    </row>
    <row r="26" spans="2:31" x14ac:dyDescent="0.35">
      <c r="B26" s="43" t="s">
        <v>73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AA26" s="48" t="s">
        <v>74</v>
      </c>
      <c r="AB26" s="48" t="s">
        <v>75</v>
      </c>
      <c r="AC26" s="49">
        <v>0.97448330000000005</v>
      </c>
      <c r="AD26" s="38"/>
      <c r="AE26" s="38"/>
    </row>
    <row r="27" spans="2:31" x14ac:dyDescent="0.35">
      <c r="B27" s="11" t="s">
        <v>76</v>
      </c>
      <c r="C27" s="12">
        <f>D9*$D$6</f>
        <v>4.9079345161700187</v>
      </c>
      <c r="D27" s="12">
        <f>C27</f>
        <v>4.9079345161700187</v>
      </c>
      <c r="E27" s="12">
        <f t="shared" ref="E27:K27" si="10">D27</f>
        <v>4.9079345161700187</v>
      </c>
      <c r="F27" s="12">
        <f t="shared" si="10"/>
        <v>4.9079345161700187</v>
      </c>
      <c r="G27" s="12">
        <f t="shared" si="10"/>
        <v>4.9079345161700187</v>
      </c>
      <c r="H27" s="12">
        <f t="shared" si="10"/>
        <v>4.9079345161700187</v>
      </c>
      <c r="I27" s="12">
        <f t="shared" si="10"/>
        <v>4.9079345161700187</v>
      </c>
      <c r="J27" s="12">
        <f t="shared" si="10"/>
        <v>4.9079345161700187</v>
      </c>
      <c r="K27" s="12">
        <f t="shared" si="10"/>
        <v>4.9079345161700187</v>
      </c>
      <c r="L27" s="11"/>
      <c r="M27" s="11"/>
      <c r="N27" s="11"/>
      <c r="O27" s="11"/>
      <c r="AA27" s="45" t="s">
        <v>77</v>
      </c>
      <c r="AB27" s="46" t="s">
        <v>78</v>
      </c>
      <c r="AC27" s="47">
        <v>0.10883420000000001</v>
      </c>
      <c r="AD27" s="38"/>
      <c r="AE27" s="38"/>
    </row>
    <row r="28" spans="2:31" x14ac:dyDescent="0.35">
      <c r="B28" s="11" t="s">
        <v>79</v>
      </c>
      <c r="C28" s="51">
        <f>[2]RoE!$F$8</f>
        <v>0.155</v>
      </c>
      <c r="D28" s="50">
        <f>[2]RoE!$H$8</f>
        <v>0.155</v>
      </c>
      <c r="E28" s="51">
        <f>[4]RoE!$G$34</f>
        <v>0.155</v>
      </c>
      <c r="F28" s="51">
        <f>[4]RoE!$T$34</f>
        <v>7.4999999999999997E-2</v>
      </c>
      <c r="G28" s="51">
        <f>[4]RoE!$AD$34</f>
        <v>7.4999999999999997E-2</v>
      </c>
      <c r="H28" s="51">
        <f>[4]RoE!$AN$34</f>
        <v>0.155</v>
      </c>
      <c r="I28" s="51">
        <f>[1]RoE!$G$33</f>
        <v>0.155</v>
      </c>
      <c r="J28" s="51">
        <f>[1]RoE!$M$33</f>
        <v>0.14500000000000002</v>
      </c>
      <c r="K28" s="51">
        <f>[1]RoE!$S$33</f>
        <v>0.14000000000000001</v>
      </c>
      <c r="L28" s="11"/>
      <c r="M28" s="11"/>
      <c r="N28" s="11"/>
      <c r="O28" s="11"/>
      <c r="AA28" s="45" t="s">
        <v>80</v>
      </c>
      <c r="AB28" s="46" t="s">
        <v>81</v>
      </c>
      <c r="AC28" s="52">
        <v>3.6880000000000002</v>
      </c>
      <c r="AD28" s="38"/>
      <c r="AE28" s="38"/>
    </row>
    <row r="29" spans="2:31" x14ac:dyDescent="0.35">
      <c r="B29" s="11" t="s">
        <v>82</v>
      </c>
      <c r="C29" s="12">
        <f>C27*C28*C17/365</f>
        <v>0.18340884054947684</v>
      </c>
      <c r="D29" s="12">
        <f>D27*D28</f>
        <v>0.76072985000635285</v>
      </c>
      <c r="E29" s="12">
        <f t="shared" ref="E29:K29" si="11">E27*E28</f>
        <v>0.76072985000635285</v>
      </c>
      <c r="F29" s="12">
        <f t="shared" si="11"/>
        <v>0.36809508871275137</v>
      </c>
      <c r="G29" s="12">
        <f t="shared" si="11"/>
        <v>0.36809508871275137</v>
      </c>
      <c r="H29" s="12">
        <f t="shared" si="11"/>
        <v>0.76072985000635285</v>
      </c>
      <c r="I29" s="12">
        <f t="shared" si="11"/>
        <v>0.76072985000635285</v>
      </c>
      <c r="J29" s="12">
        <f t="shared" si="11"/>
        <v>0.71165050484465275</v>
      </c>
      <c r="K29" s="12">
        <f t="shared" si="11"/>
        <v>0.68711083226380265</v>
      </c>
      <c r="L29" s="11"/>
      <c r="M29" s="11"/>
      <c r="N29" s="11"/>
      <c r="O29" s="11"/>
      <c r="AA29" s="45" t="s">
        <v>83</v>
      </c>
      <c r="AB29" s="53"/>
      <c r="AC29" s="47">
        <f>SUM(AC18:AC19,AC27:AC28)</f>
        <v>17.74513653</v>
      </c>
      <c r="AD29" s="54"/>
      <c r="AE29" s="38"/>
    </row>
    <row r="30" spans="2:31" hidden="1" x14ac:dyDescent="0.3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A30" s="55"/>
      <c r="AB30" s="38"/>
      <c r="AC30" s="38"/>
      <c r="AD30" s="38"/>
      <c r="AE30" s="38"/>
    </row>
    <row r="31" spans="2:31" x14ac:dyDescent="0.35">
      <c r="B31" s="43" t="s">
        <v>84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AA31" s="56" t="s">
        <v>85</v>
      </c>
      <c r="AB31" s="57"/>
      <c r="AC31" s="57">
        <v>15.19</v>
      </c>
      <c r="AD31" s="38"/>
      <c r="AE31" s="38"/>
    </row>
    <row r="32" spans="2:31" x14ac:dyDescent="0.35">
      <c r="B32" s="11" t="s">
        <v>86</v>
      </c>
      <c r="C32" s="12">
        <f>D6</f>
        <v>24.046013469999707</v>
      </c>
      <c r="D32" s="12">
        <f>$C$32</f>
        <v>24.046013469999707</v>
      </c>
      <c r="E32" s="12">
        <f t="shared" ref="E32:K32" si="12">$C$32</f>
        <v>24.046013469999707</v>
      </c>
      <c r="F32" s="12">
        <f t="shared" si="12"/>
        <v>24.046013469999707</v>
      </c>
      <c r="G32" s="12">
        <f t="shared" si="12"/>
        <v>24.046013469999707</v>
      </c>
      <c r="H32" s="12">
        <f t="shared" si="12"/>
        <v>24.046013469999707</v>
      </c>
      <c r="I32" s="12">
        <f t="shared" si="12"/>
        <v>24.046013469999707</v>
      </c>
      <c r="J32" s="12">
        <f t="shared" si="12"/>
        <v>24.046013469999707</v>
      </c>
      <c r="K32" s="12">
        <f t="shared" si="12"/>
        <v>24.046013469999707</v>
      </c>
      <c r="L32" s="12"/>
      <c r="M32" s="12"/>
      <c r="N32" s="12"/>
      <c r="O32" s="12"/>
      <c r="AA32" s="56" t="s">
        <v>87</v>
      </c>
      <c r="AB32" s="57"/>
      <c r="AC32" s="57">
        <v>9.92</v>
      </c>
      <c r="AD32" s="38"/>
      <c r="AE32" s="38"/>
    </row>
    <row r="33" spans="2:31" x14ac:dyDescent="0.35">
      <c r="B33" s="11" t="s">
        <v>88</v>
      </c>
      <c r="C33" s="51">
        <v>5.28E-2</v>
      </c>
      <c r="D33" s="51">
        <v>5.28E-2</v>
      </c>
      <c r="E33" s="51">
        <v>5.28E-2</v>
      </c>
      <c r="F33" s="51">
        <v>5.28E-2</v>
      </c>
      <c r="G33" s="51">
        <v>5.28E-2</v>
      </c>
      <c r="H33" s="51">
        <v>5.28E-2</v>
      </c>
      <c r="I33" s="51">
        <v>5.28E-2</v>
      </c>
      <c r="J33" s="51">
        <v>5.28E-2</v>
      </c>
      <c r="K33" s="51">
        <v>5.28E-2</v>
      </c>
      <c r="L33" s="11"/>
      <c r="M33" s="11"/>
      <c r="N33" s="11"/>
      <c r="O33" s="11"/>
      <c r="AA33" s="56" t="s">
        <v>89</v>
      </c>
      <c r="AB33" s="57"/>
      <c r="AC33" s="58">
        <f>SUM(AC31:AC32,AC29)</f>
        <v>42.855136529999996</v>
      </c>
      <c r="AD33" s="38"/>
      <c r="AE33" s="38"/>
    </row>
    <row r="34" spans="2:31" x14ac:dyDescent="0.35">
      <c r="B34" s="11" t="s">
        <v>84</v>
      </c>
      <c r="C34" s="12">
        <f>C32*C33/365*C17</f>
        <v>0.30610245749864834</v>
      </c>
      <c r="D34" s="12">
        <f>D32*D33/365*D17</f>
        <v>1.2696295112159846</v>
      </c>
      <c r="E34" s="12">
        <f t="shared" ref="E34:K34" si="13">E32*E33/365*E17</f>
        <v>1.2731079482330148</v>
      </c>
      <c r="F34" s="12">
        <f t="shared" si="13"/>
        <v>1.2696295112159846</v>
      </c>
      <c r="G34" s="12">
        <f t="shared" si="13"/>
        <v>1.2696295112159846</v>
      </c>
      <c r="H34" s="12">
        <f t="shared" si="13"/>
        <v>1.2696295112159846</v>
      </c>
      <c r="I34" s="12">
        <f t="shared" si="13"/>
        <v>1.2731079482330148</v>
      </c>
      <c r="J34" s="12">
        <f t="shared" si="13"/>
        <v>1.2696295112159846</v>
      </c>
      <c r="K34" s="12">
        <f t="shared" si="13"/>
        <v>1.2696295112159846</v>
      </c>
      <c r="L34" s="11"/>
      <c r="M34" s="11"/>
      <c r="N34" s="11"/>
      <c r="O34" s="11"/>
      <c r="AA34" s="56" t="s">
        <v>90</v>
      </c>
      <c r="AB34" s="57"/>
      <c r="AC34" s="58">
        <f>46-AC33</f>
        <v>3.1448634700000042</v>
      </c>
      <c r="AD34" s="38"/>
      <c r="AE34" s="38"/>
    </row>
    <row r="35" spans="2:31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A35" s="45" t="s">
        <v>91</v>
      </c>
      <c r="AB35" s="46"/>
      <c r="AC35" s="47">
        <f>SUM(AC33:AC34)</f>
        <v>46</v>
      </c>
      <c r="AD35" s="38"/>
      <c r="AE35" s="38"/>
    </row>
    <row r="36" spans="2:31" x14ac:dyDescent="0.35">
      <c r="B36" s="43" t="s">
        <v>92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AA36" s="55"/>
      <c r="AB36" s="38"/>
      <c r="AC36" s="38"/>
      <c r="AD36" s="38"/>
      <c r="AE36" s="38"/>
    </row>
    <row r="37" spans="2:31" x14ac:dyDescent="0.35">
      <c r="B37" s="11" t="s">
        <v>93</v>
      </c>
      <c r="C37" s="12">
        <f ca="1">SUM(C24,C29,C34,C39)*2/12</f>
        <v>0.1793561246896698</v>
      </c>
      <c r="D37" s="12">
        <f ca="1">SUM(D24,D29,D34,D39)*2/12</f>
        <v>0.72743773793201461</v>
      </c>
      <c r="E37" s="12">
        <f t="shared" ref="E37:K37" ca="1" si="14">SUM(E24,E29,E34,E39)*2/12</f>
        <v>0.69219898028760263</v>
      </c>
      <c r="F37" s="12">
        <f t="shared" ca="1" si="14"/>
        <v>0.55267090728431356</v>
      </c>
      <c r="G37" s="12">
        <f t="shared" ca="1" si="14"/>
        <v>0.53013416045611772</v>
      </c>
      <c r="H37" s="12">
        <f t="shared" ca="1" si="14"/>
        <v>0.57442552434957539</v>
      </c>
      <c r="I37" s="12">
        <f t="shared" ca="1" si="14"/>
        <v>0.55398625271859403</v>
      </c>
      <c r="J37" s="12">
        <f t="shared" ca="1" si="14"/>
        <v>0.52254533671372172</v>
      </c>
      <c r="K37" s="12">
        <f t="shared" ca="1" si="14"/>
        <v>0.49486354316466602</v>
      </c>
      <c r="L37" s="11"/>
      <c r="M37" s="11"/>
      <c r="N37" s="11"/>
      <c r="O37" s="11"/>
      <c r="AA37" s="55" t="s">
        <v>94</v>
      </c>
      <c r="AB37" s="38"/>
      <c r="AC37" s="38"/>
      <c r="AD37" s="38"/>
      <c r="AE37" s="38"/>
    </row>
    <row r="38" spans="2:31" x14ac:dyDescent="0.35">
      <c r="B38" s="11" t="s">
        <v>95</v>
      </c>
      <c r="C38" s="51">
        <f>[2]IWC!$H$11</f>
        <v>0.14449999999999999</v>
      </c>
      <c r="D38" s="50">
        <f>[2]IWC!$J$11</f>
        <v>0.14449999999999999</v>
      </c>
      <c r="E38" s="51">
        <f>[4]IoWC!$J$34</f>
        <v>0.14050000000000001</v>
      </c>
      <c r="F38" s="51">
        <f>[4]IoWC!$W$34</f>
        <v>0.1079</v>
      </c>
      <c r="G38" s="51">
        <f>[4]IoWC!$AJ$34</f>
        <v>0.1018</v>
      </c>
      <c r="H38" s="51">
        <f>[4]IoWC!$AW$34</f>
        <v>9.8900000000000002E-2</v>
      </c>
      <c r="I38" s="51">
        <f>[1]IoWC!$J$32</f>
        <v>9.6600000000000005E-2</v>
      </c>
      <c r="J38" s="51">
        <f>[1]IoWC!$J$50</f>
        <v>8.5699999999999998E-2</v>
      </c>
      <c r="K38" s="51">
        <f>[1]IoWC!$J$68</f>
        <v>8.5000000000000006E-2</v>
      </c>
      <c r="L38" s="51">
        <f>'[5]MCLR '!$H$4</f>
        <v>9.2987671232876712E-2</v>
      </c>
      <c r="M38" s="51">
        <f>'[5]MCLR '!$H$17</f>
        <v>0.10065163934426231</v>
      </c>
      <c r="N38" s="51">
        <f>M38</f>
        <v>0.10065163934426231</v>
      </c>
      <c r="O38" s="51">
        <f>N38</f>
        <v>0.10065163934426231</v>
      </c>
      <c r="Q38" s="59"/>
      <c r="AA38" s="55" t="s">
        <v>96</v>
      </c>
      <c r="AB38" s="38"/>
      <c r="AC38" s="38"/>
      <c r="AD38" s="38"/>
      <c r="AE38" s="38"/>
    </row>
    <row r="39" spans="2:31" x14ac:dyDescent="0.35">
      <c r="B39" s="11" t="s">
        <v>97</v>
      </c>
      <c r="C39" s="12">
        <f ca="1">C37*C38</f>
        <v>2.5916960017657285E-2</v>
      </c>
      <c r="D39" s="12">
        <f t="shared" ref="D39:K39" ca="1" si="15">D37*D38</f>
        <v>0.1051147531311761</v>
      </c>
      <c r="E39" s="12">
        <f t="shared" ca="1" si="15"/>
        <v>9.7253956730408181E-2</v>
      </c>
      <c r="F39" s="12">
        <f t="shared" ca="1" si="15"/>
        <v>5.9633190895977434E-2</v>
      </c>
      <c r="G39" s="12">
        <f t="shared" ca="1" si="15"/>
        <v>5.3967657534432785E-2</v>
      </c>
      <c r="H39" s="12">
        <f t="shared" ca="1" si="15"/>
        <v>5.6810684358173005E-2</v>
      </c>
      <c r="I39" s="12">
        <f t="shared" ca="1" si="15"/>
        <v>5.351507201261619E-2</v>
      </c>
      <c r="J39" s="12">
        <f t="shared" ca="1" si="15"/>
        <v>4.4782135356365951E-2</v>
      </c>
      <c r="K39" s="12">
        <f t="shared" ca="1" si="15"/>
        <v>4.2063401168996616E-2</v>
      </c>
      <c r="L39" s="11"/>
      <c r="M39" s="11"/>
      <c r="N39" s="11"/>
      <c r="O39" s="11"/>
      <c r="AA39" s="55"/>
      <c r="AB39" s="38"/>
      <c r="AC39" s="38"/>
      <c r="AD39" s="54"/>
      <c r="AE39" s="38"/>
    </row>
    <row r="40" spans="2:31" x14ac:dyDescent="0.35">
      <c r="B40" s="11"/>
      <c r="C40" s="12"/>
      <c r="D40" s="12"/>
      <c r="E40" s="12"/>
      <c r="F40" s="12"/>
      <c r="G40" s="12"/>
      <c r="H40" s="12"/>
      <c r="I40" s="11"/>
      <c r="J40" s="11"/>
      <c r="K40" s="11"/>
      <c r="L40" s="11"/>
      <c r="M40" s="11"/>
      <c r="N40" s="11"/>
      <c r="O40" s="11"/>
      <c r="AA40" s="55"/>
      <c r="AB40" s="38"/>
      <c r="AC40" s="54"/>
      <c r="AD40" s="38"/>
      <c r="AE40" s="38"/>
    </row>
    <row r="41" spans="2:31" x14ac:dyDescent="0.35">
      <c r="B41" s="60" t="s">
        <v>98</v>
      </c>
      <c r="C41" s="61">
        <f ca="1">SUM(C24,C29,C34,C39)</f>
        <v>1.0761367481380189</v>
      </c>
      <c r="D41" s="61">
        <f ca="1">SUM(D24,D29,D34,D39)</f>
        <v>4.3646264275920874</v>
      </c>
      <c r="E41" s="61">
        <f t="shared" ref="E41:K41" ca="1" si="16">SUM(E24,E29,E34,E39)</f>
        <v>4.153193881725616</v>
      </c>
      <c r="F41" s="61">
        <f t="shared" ca="1" si="16"/>
        <v>3.3160254437058816</v>
      </c>
      <c r="G41" s="61">
        <f t="shared" ca="1" si="16"/>
        <v>3.1808049627367061</v>
      </c>
      <c r="H41" s="61">
        <f t="shared" ca="1" si="16"/>
        <v>3.4465531460974526</v>
      </c>
      <c r="I41" s="61">
        <f t="shared" ca="1" si="16"/>
        <v>3.323917516311564</v>
      </c>
      <c r="J41" s="61">
        <f t="shared" ca="1" si="16"/>
        <v>3.1352720202823301</v>
      </c>
      <c r="K41" s="61">
        <f t="shared" ca="1" si="16"/>
        <v>2.9691812589879962</v>
      </c>
      <c r="L41" s="11"/>
      <c r="M41" s="11"/>
      <c r="N41" s="11"/>
      <c r="O41" s="11"/>
      <c r="AA41" s="55"/>
      <c r="AB41" s="38"/>
      <c r="AC41" s="62"/>
      <c r="AD41" s="38"/>
      <c r="AE41" s="38"/>
    </row>
    <row r="42" spans="2:31" ht="29" x14ac:dyDescent="0.3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A42" s="63" t="s">
        <v>2</v>
      </c>
      <c r="AB42" s="63" t="s">
        <v>50</v>
      </c>
      <c r="AC42" s="42" t="s">
        <v>51</v>
      </c>
      <c r="AD42" s="38"/>
      <c r="AE42" s="38"/>
    </row>
    <row r="43" spans="2:31" x14ac:dyDescent="0.35">
      <c r="B43" s="11" t="s">
        <v>99</v>
      </c>
      <c r="C43" s="64">
        <f>'[2]AFC Reduction'!$F$4</f>
        <v>0.8</v>
      </c>
      <c r="D43" s="64">
        <v>0.85</v>
      </c>
      <c r="E43" s="64">
        <v>0.85</v>
      </c>
      <c r="F43" s="64">
        <v>0.85</v>
      </c>
      <c r="G43" s="64">
        <v>0.85</v>
      </c>
      <c r="H43" s="64">
        <v>0.85</v>
      </c>
      <c r="I43" s="64">
        <v>0.85</v>
      </c>
      <c r="J43" s="64">
        <v>0.85</v>
      </c>
      <c r="K43" s="64">
        <v>0.85</v>
      </c>
      <c r="L43" s="11"/>
      <c r="M43" s="11"/>
      <c r="N43" s="11"/>
      <c r="O43" s="11"/>
      <c r="AA43" s="56" t="s">
        <v>83</v>
      </c>
      <c r="AB43" s="57"/>
      <c r="AC43" s="58">
        <f>AC29</f>
        <v>17.74513653</v>
      </c>
      <c r="AD43" s="38"/>
      <c r="AE43" s="38"/>
    </row>
    <row r="44" spans="2:31" ht="29" x14ac:dyDescent="0.35">
      <c r="B44" s="11" t="s">
        <v>100</v>
      </c>
      <c r="C44" s="65">
        <f>SUMPRODUCT('[2]AFC Reduction'!$E$9:$E$11,'[2]AFC Reduction'!$H$9:$H$11)/'[2]AFC Reduction'!$H$12</f>
        <v>0.55373757687745651</v>
      </c>
      <c r="D44" s="50">
        <f>AVERAGE('[2]Performance Parameters'!$T$10,'[2]Performance Parameters'!$W$10)</f>
        <v>0.82638960338852518</v>
      </c>
      <c r="E44" s="50">
        <f>'[6]AFC Reduction'!$D$15</f>
        <v>0.89090000000000003</v>
      </c>
      <c r="F44" s="50">
        <f>'[6]AFC Reduction'!$D$32</f>
        <v>0.93489999999999995</v>
      </c>
      <c r="G44" s="50">
        <f>'[4]AFC Reduction'!$D$15</f>
        <v>0.80900000000000005</v>
      </c>
      <c r="H44" s="50">
        <f>'[4]AFC Reduction'!$D$34</f>
        <v>0.82030000000000003</v>
      </c>
      <c r="I44" s="50">
        <f>'[1]AFC reduction'!$D$14</f>
        <v>0.83720000000000006</v>
      </c>
      <c r="J44" s="50">
        <f>'[1]AFC reduction'!$D$32</f>
        <v>0.9250669189028532</v>
      </c>
      <c r="K44" s="50">
        <f>'[1]AFC reduction'!$D$50</f>
        <v>0.77809702374267975</v>
      </c>
      <c r="L44" s="11"/>
      <c r="M44" s="11"/>
      <c r="N44" s="11"/>
      <c r="O44" s="11"/>
      <c r="AA44" s="56" t="s">
        <v>77</v>
      </c>
      <c r="AB44" s="66" t="s">
        <v>101</v>
      </c>
      <c r="AC44" s="58">
        <f>3.012104</f>
        <v>3.0121039999999999</v>
      </c>
      <c r="AD44" s="38"/>
      <c r="AE44" s="38"/>
    </row>
    <row r="45" spans="2:31" x14ac:dyDescent="0.35">
      <c r="B45" s="67" t="s">
        <v>102</v>
      </c>
      <c r="C45" s="61">
        <f t="shared" ref="C45:K45" ca="1" si="17">C41/C43*IF(C44&gt;85%,85%,C44)</f>
        <v>0.74487169412841525</v>
      </c>
      <c r="D45" s="61">
        <f t="shared" ca="1" si="17"/>
        <v>4.2433904734551779</v>
      </c>
      <c r="E45" s="61">
        <f t="shared" ca="1" si="17"/>
        <v>4.153193881725616</v>
      </c>
      <c r="F45" s="61">
        <f t="shared" ca="1" si="17"/>
        <v>3.3160254437058816</v>
      </c>
      <c r="G45" s="61">
        <f t="shared" ca="1" si="17"/>
        <v>3.0273778998282297</v>
      </c>
      <c r="H45" s="61">
        <f t="shared" ca="1" si="17"/>
        <v>3.3261265244044007</v>
      </c>
      <c r="I45" s="61">
        <f t="shared" ca="1" si="17"/>
        <v>3.2738632290071079</v>
      </c>
      <c r="J45" s="61">
        <f t="shared" ca="1" si="17"/>
        <v>3.1352720202823301</v>
      </c>
      <c r="K45" s="61">
        <f t="shared" ca="1" si="17"/>
        <v>2.7180130594954148</v>
      </c>
      <c r="L45" s="11"/>
      <c r="M45" s="11"/>
      <c r="N45" s="11"/>
      <c r="O45" s="11"/>
      <c r="AA45" s="56" t="s">
        <v>103</v>
      </c>
      <c r="AB45" s="57" t="s">
        <v>104</v>
      </c>
      <c r="AC45" s="58">
        <f>AC34</f>
        <v>3.1448634700000042</v>
      </c>
      <c r="AD45" s="38"/>
      <c r="AE45" s="38"/>
    </row>
    <row r="46" spans="2:31" x14ac:dyDescent="0.3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A46" s="45" t="s">
        <v>105</v>
      </c>
      <c r="AB46" s="57"/>
      <c r="AC46" s="47">
        <f>SUM(AC43:AC45)</f>
        <v>23.902104000000005</v>
      </c>
      <c r="AD46" s="38"/>
      <c r="AE46" s="38"/>
    </row>
    <row r="47" spans="2:31" x14ac:dyDescent="0.35">
      <c r="B47" s="43" t="s">
        <v>106</v>
      </c>
      <c r="C47" s="68" t="s">
        <v>107</v>
      </c>
      <c r="D47" s="68" t="s">
        <v>108</v>
      </c>
      <c r="E47" s="68" t="s">
        <v>109</v>
      </c>
      <c r="F47" s="68" t="s">
        <v>110</v>
      </c>
      <c r="G47" s="68" t="s">
        <v>111</v>
      </c>
      <c r="H47" s="68" t="s">
        <v>112</v>
      </c>
      <c r="I47" s="68" t="s">
        <v>113</v>
      </c>
      <c r="J47" s="68" t="s">
        <v>114</v>
      </c>
      <c r="K47" s="68" t="s">
        <v>115</v>
      </c>
      <c r="L47" s="68" t="s">
        <v>116</v>
      </c>
      <c r="M47" s="68" t="s">
        <v>117</v>
      </c>
      <c r="N47" s="68" t="s">
        <v>118</v>
      </c>
      <c r="O47" s="68" t="s">
        <v>119</v>
      </c>
      <c r="AA47" s="55"/>
      <c r="AB47" s="38"/>
      <c r="AC47" s="38"/>
      <c r="AD47" s="38"/>
      <c r="AE47" s="38"/>
    </row>
    <row r="48" spans="2:31" ht="29" x14ac:dyDescent="0.35">
      <c r="B48" s="11" t="s">
        <v>120</v>
      </c>
      <c r="C48" s="11">
        <v>0</v>
      </c>
      <c r="D48" s="12">
        <f ca="1">C50</f>
        <v>0.74487169412841525</v>
      </c>
      <c r="E48" s="12">
        <f t="shared" ref="E48:O48" ca="1" si="18">D50</f>
        <v>4.988262167583593</v>
      </c>
      <c r="F48" s="12">
        <f t="shared" ca="1" si="18"/>
        <v>9.141456049309209</v>
      </c>
      <c r="G48" s="12">
        <f t="shared" ca="1" si="18"/>
        <v>12.457481493015091</v>
      </c>
      <c r="H48" s="12">
        <f t="shared" ca="1" si="18"/>
        <v>15.484859392843321</v>
      </c>
      <c r="I48" s="12">
        <f t="shared" ca="1" si="18"/>
        <v>18.81098591724772</v>
      </c>
      <c r="J48" s="12">
        <f t="shared" ca="1" si="18"/>
        <v>22.084849146254829</v>
      </c>
      <c r="K48" s="12">
        <f t="shared" ca="1" si="18"/>
        <v>25.220121166537158</v>
      </c>
      <c r="L48" s="12">
        <f t="shared" ca="1" si="18"/>
        <v>27.938134226032574</v>
      </c>
      <c r="M48" s="12">
        <f t="shared" ca="1" si="18"/>
        <v>27.938134226032574</v>
      </c>
      <c r="N48" s="12">
        <f t="shared" ca="1" si="18"/>
        <v>27.938134226032574</v>
      </c>
      <c r="O48" s="12">
        <f t="shared" ca="1" si="18"/>
        <v>27.938134226032574</v>
      </c>
      <c r="AA48" s="37" t="s">
        <v>121</v>
      </c>
      <c r="AB48" s="38"/>
      <c r="AC48" s="69" t="s">
        <v>51</v>
      </c>
      <c r="AD48" s="38"/>
      <c r="AE48" s="38"/>
    </row>
    <row r="49" spans="2:31" x14ac:dyDescent="0.35">
      <c r="B49" s="11" t="s">
        <v>122</v>
      </c>
      <c r="C49" s="12">
        <f ca="1">C45</f>
        <v>0.74487169412841525</v>
      </c>
      <c r="D49" s="12">
        <f t="shared" ref="D49:O49" ca="1" si="19">D45</f>
        <v>4.2433904734551779</v>
      </c>
      <c r="E49" s="12">
        <f t="shared" ca="1" si="19"/>
        <v>4.153193881725616</v>
      </c>
      <c r="F49" s="12">
        <f t="shared" ca="1" si="19"/>
        <v>3.3160254437058816</v>
      </c>
      <c r="G49" s="12">
        <f t="shared" ca="1" si="19"/>
        <v>3.0273778998282297</v>
      </c>
      <c r="H49" s="12">
        <f t="shared" ca="1" si="19"/>
        <v>3.3261265244044007</v>
      </c>
      <c r="I49" s="12">
        <f t="shared" ca="1" si="19"/>
        <v>3.2738632290071079</v>
      </c>
      <c r="J49" s="12">
        <f t="shared" ca="1" si="19"/>
        <v>3.1352720202823301</v>
      </c>
      <c r="K49" s="12">
        <f t="shared" ca="1" si="19"/>
        <v>2.7180130594954148</v>
      </c>
      <c r="L49" s="12">
        <f t="shared" si="19"/>
        <v>0</v>
      </c>
      <c r="M49" s="12">
        <f t="shared" si="19"/>
        <v>0</v>
      </c>
      <c r="N49" s="12">
        <f t="shared" si="19"/>
        <v>0</v>
      </c>
      <c r="O49" s="12">
        <f t="shared" si="19"/>
        <v>0</v>
      </c>
      <c r="AA49" s="70" t="s">
        <v>123</v>
      </c>
      <c r="AB49" s="71"/>
      <c r="AC49" s="57">
        <f>AC31</f>
        <v>15.19</v>
      </c>
      <c r="AD49" s="38"/>
      <c r="AE49" s="38"/>
    </row>
    <row r="50" spans="2:31" x14ac:dyDescent="0.35">
      <c r="B50" s="11" t="s">
        <v>124</v>
      </c>
      <c r="C50" s="12">
        <f ca="1">C48+C49</f>
        <v>0.74487169412841525</v>
      </c>
      <c r="D50" s="12">
        <f t="shared" ref="D50:O50" ca="1" si="20">D48+D49</f>
        <v>4.988262167583593</v>
      </c>
      <c r="E50" s="12">
        <f t="shared" ca="1" si="20"/>
        <v>9.141456049309209</v>
      </c>
      <c r="F50" s="12">
        <f t="shared" ca="1" si="20"/>
        <v>12.457481493015091</v>
      </c>
      <c r="G50" s="12">
        <f t="shared" ca="1" si="20"/>
        <v>15.484859392843321</v>
      </c>
      <c r="H50" s="12">
        <f t="shared" ca="1" si="20"/>
        <v>18.81098591724772</v>
      </c>
      <c r="I50" s="12">
        <f t="shared" ca="1" si="20"/>
        <v>22.084849146254829</v>
      </c>
      <c r="J50" s="12">
        <f t="shared" ca="1" si="20"/>
        <v>25.220121166537158</v>
      </c>
      <c r="K50" s="12">
        <f t="shared" ca="1" si="20"/>
        <v>27.938134226032574</v>
      </c>
      <c r="L50" s="12">
        <f t="shared" ca="1" si="20"/>
        <v>27.938134226032574</v>
      </c>
      <c r="M50" s="12">
        <f t="shared" ca="1" si="20"/>
        <v>27.938134226032574</v>
      </c>
      <c r="N50" s="12">
        <f t="shared" ca="1" si="20"/>
        <v>27.938134226032574</v>
      </c>
      <c r="O50" s="12">
        <f t="shared" ca="1" si="20"/>
        <v>27.938134226032574</v>
      </c>
      <c r="AA50" s="72" t="str">
        <f>AA32</f>
        <v>( C) Chimney retention Amount</v>
      </c>
      <c r="AB50" s="73"/>
      <c r="AC50" s="74">
        <f>AC32</f>
        <v>9.92</v>
      </c>
      <c r="AD50" s="38"/>
      <c r="AE50" s="38"/>
    </row>
    <row r="51" spans="2:31" x14ac:dyDescent="0.35">
      <c r="B51" s="13" t="s">
        <v>106</v>
      </c>
      <c r="C51" s="75">
        <f ca="1">(C48*C38+C49/2*C38)*C17/365</f>
        <v>1.2975052688406751E-2</v>
      </c>
      <c r="D51" s="75">
        <f ca="1">(D48*D38+D49/2*D38)</f>
        <v>0.41421892150869255</v>
      </c>
      <c r="E51" s="75">
        <f t="shared" ref="E51:O51" ca="1" si="21">(E48*E38+E49/2*E38)</f>
        <v>0.99261270473671948</v>
      </c>
      <c r="F51" s="75">
        <f t="shared" ca="1" si="21"/>
        <v>1.1652626804083959</v>
      </c>
      <c r="G51" s="75">
        <f t="shared" ca="1" si="21"/>
        <v>1.4222651510901931</v>
      </c>
      <c r="H51" s="75">
        <f t="shared" ca="1" si="21"/>
        <v>1.695929550584002</v>
      </c>
      <c r="I51" s="75">
        <f ca="1">(I48*I38+I49/2*I38)</f>
        <v>1.9752688335671733</v>
      </c>
      <c r="J51" s="75">
        <f t="shared" ca="1" si="21"/>
        <v>2.0270179779031365</v>
      </c>
      <c r="K51" s="75">
        <f t="shared" ca="1" si="21"/>
        <v>2.2592258541842134</v>
      </c>
      <c r="L51" s="75">
        <f ca="1">(L48*L38+L49/2*L38)</f>
        <v>2.5979020402702973</v>
      </c>
      <c r="M51" s="75">
        <f t="shared" ca="1" si="21"/>
        <v>2.8120190100702218</v>
      </c>
      <c r="N51" s="75">
        <f t="shared" ca="1" si="21"/>
        <v>2.8120190100702218</v>
      </c>
      <c r="O51" s="75">
        <f t="shared" ca="1" si="21"/>
        <v>2.8120190100702218</v>
      </c>
      <c r="AA51" s="76"/>
      <c r="AB51" s="74"/>
      <c r="AC51" s="77">
        <f>SUM(AC49:AC50)</f>
        <v>25.11</v>
      </c>
      <c r="AD51" s="38"/>
      <c r="AE51" s="38"/>
    </row>
    <row r="52" spans="2:31" x14ac:dyDescent="0.3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A52" s="55"/>
      <c r="AB52" s="38"/>
      <c r="AC52" s="38"/>
      <c r="AD52" s="38"/>
      <c r="AE52" s="38"/>
    </row>
    <row r="53" spans="2:31" x14ac:dyDescent="0.35">
      <c r="B53" s="13" t="s">
        <v>125</v>
      </c>
      <c r="C53" s="78">
        <f ca="1">SUM(M50:M51)</f>
        <v>30.750153236102797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A53" s="55"/>
      <c r="AB53" s="38"/>
      <c r="AC53" s="62"/>
      <c r="AD53" s="62"/>
      <c r="AE53" s="38"/>
    </row>
    <row r="54" spans="2:31" x14ac:dyDescent="0.35">
      <c r="AA54" s="55"/>
      <c r="AB54" s="38"/>
      <c r="AC54" s="38"/>
      <c r="AD54" s="38"/>
      <c r="AE54" s="38"/>
    </row>
    <row r="55" spans="2:31" x14ac:dyDescent="0.35">
      <c r="AA55" s="55"/>
      <c r="AB55" s="38"/>
      <c r="AC55" s="38"/>
      <c r="AD55" s="38"/>
      <c r="AE55" s="38"/>
    </row>
    <row r="56" spans="2:31" x14ac:dyDescent="0.35">
      <c r="B56" s="2"/>
      <c r="C56" s="33"/>
      <c r="D56" s="33"/>
      <c r="E56" s="33"/>
      <c r="F56" s="33"/>
      <c r="G56" s="33"/>
      <c r="H56" s="33"/>
      <c r="L56" s="33"/>
      <c r="M56" s="33"/>
      <c r="N56" s="33"/>
      <c r="AA56" s="55"/>
      <c r="AB56" s="38"/>
      <c r="AC56" s="38"/>
      <c r="AD56" s="38"/>
      <c r="AE56" s="38"/>
    </row>
    <row r="57" spans="2:31" x14ac:dyDescent="0.35">
      <c r="C57" s="33"/>
      <c r="D57" s="33"/>
      <c r="E57" s="33"/>
      <c r="F57" s="33"/>
      <c r="G57" s="33"/>
      <c r="H57" s="33"/>
      <c r="L57" s="33"/>
      <c r="M57" s="33"/>
      <c r="N57" s="33"/>
    </row>
    <row r="58" spans="2:31" x14ac:dyDescent="0.35">
      <c r="C58" s="79"/>
      <c r="D58" s="79"/>
      <c r="E58" s="79"/>
      <c r="F58" s="79"/>
      <c r="G58" s="79"/>
      <c r="H58" s="79"/>
      <c r="L58" s="79"/>
      <c r="M58" s="79"/>
      <c r="N58" s="79"/>
    </row>
    <row r="59" spans="2:31" x14ac:dyDescent="0.35">
      <c r="E59" s="80"/>
      <c r="G59" s="81"/>
      <c r="H59" s="81"/>
    </row>
    <row r="60" spans="2:31" x14ac:dyDescent="0.35">
      <c r="E60" s="80"/>
    </row>
    <row r="61" spans="2:31" x14ac:dyDescent="0.35">
      <c r="E61" s="80"/>
      <c r="F61" s="81"/>
      <c r="G61" s="81"/>
      <c r="H61" s="81"/>
    </row>
    <row r="62" spans="2:31" x14ac:dyDescent="0.35">
      <c r="E62" s="82"/>
      <c r="F62" s="59"/>
      <c r="G62" s="59"/>
      <c r="H62" s="59"/>
    </row>
    <row r="63" spans="2:31" x14ac:dyDescent="0.35">
      <c r="E63" s="80"/>
      <c r="F63" s="81"/>
      <c r="G63" s="81"/>
      <c r="H63" s="81"/>
    </row>
    <row r="64" spans="2:31" x14ac:dyDescent="0.35">
      <c r="G64" s="80"/>
    </row>
    <row r="65" spans="2:8" x14ac:dyDescent="0.35">
      <c r="G65" s="80"/>
    </row>
    <row r="67" spans="2:8" x14ac:dyDescent="0.35">
      <c r="B67" s="2"/>
    </row>
    <row r="68" spans="2:8" x14ac:dyDescent="0.35">
      <c r="E68" s="33"/>
      <c r="F68" s="33"/>
      <c r="G68" s="33"/>
      <c r="H68" s="33"/>
    </row>
    <row r="69" spans="2:8" x14ac:dyDescent="0.35">
      <c r="E69" s="33"/>
      <c r="F69" s="33"/>
      <c r="G69" s="33"/>
      <c r="H69" s="33"/>
    </row>
    <row r="70" spans="2:8" x14ac:dyDescent="0.35">
      <c r="E70" s="79"/>
      <c r="F70" s="79"/>
      <c r="G70" s="79"/>
      <c r="H70" s="79"/>
    </row>
    <row r="71" spans="2:8" x14ac:dyDescent="0.35">
      <c r="E71" s="80"/>
      <c r="G71" s="81"/>
      <c r="H71" s="81"/>
    </row>
    <row r="72" spans="2:8" x14ac:dyDescent="0.35">
      <c r="E72" s="80"/>
    </row>
    <row r="73" spans="2:8" x14ac:dyDescent="0.35">
      <c r="E73" s="80"/>
      <c r="F73" s="81"/>
      <c r="G73" s="81"/>
      <c r="H73" s="81"/>
    </row>
    <row r="74" spans="2:8" x14ac:dyDescent="0.35">
      <c r="E74" s="82"/>
      <c r="F74" s="59"/>
      <c r="G74" s="59"/>
      <c r="H74" s="59"/>
    </row>
    <row r="75" spans="2:8" x14ac:dyDescent="0.35">
      <c r="E75" s="80"/>
      <c r="F75" s="81"/>
      <c r="G75" s="81"/>
      <c r="H75" s="81"/>
    </row>
  </sheetData>
  <mergeCells count="3">
    <mergeCell ref="P2:P3"/>
    <mergeCell ref="Q10:R10"/>
    <mergeCell ref="C14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BTPS_4-5 LD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A.V. Patkare</dc:creator>
  <cp:lastModifiedBy>A.V. Patkare</cp:lastModifiedBy>
  <dcterms:created xsi:type="dcterms:W3CDTF">2024-12-06T10:46:47Z</dcterms:created>
  <dcterms:modified xsi:type="dcterms:W3CDTF">2024-12-06T10:52:21Z</dcterms:modified>
</cp:coreProperties>
</file>